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80" windowHeight="6885" firstSheet="7" activeTab="7"/>
  </bookViews>
  <sheets>
    <sheet name="Ex. 2.1" sheetId="1" r:id="rId1"/>
    <sheet name="Ex. 2.4" sheetId="2" r:id="rId2"/>
    <sheet name="Ex. 2.5" sheetId="3" r:id="rId3"/>
    <sheet name="Ex. 2.6" sheetId="4" r:id="rId4"/>
    <sheet name="Ch. 2 Example" sheetId="5" r:id="rId5"/>
    <sheet name="Ex. 3.4" sheetId="6" r:id="rId6"/>
    <sheet name="Ex. 3.5" sheetId="7" r:id="rId7"/>
    <sheet name="Ex. 3.10" sheetId="8" r:id="rId8"/>
    <sheet name="Ex. 3.10 Chart" sheetId="9" r:id="rId9"/>
    <sheet name="Ex. 3.13" sheetId="10" r:id="rId10"/>
    <sheet name="Ex. 3.14" sheetId="11" r:id="rId11"/>
    <sheet name="Ex. 4.7" sheetId="12" r:id="rId12"/>
    <sheet name="Ex. 4.8" sheetId="13" r:id="rId13"/>
    <sheet name="Ex. 4.10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<sst xmlns="http://schemas.openxmlformats.org/spreadsheetml/2006/main" count="462" uniqueCount="243">
  <si>
    <t>Exercise 2.1</t>
  </si>
  <si>
    <t>City</t>
  </si>
  <si>
    <t>Number of Househ.</t>
  </si>
  <si>
    <t>Incand Light</t>
  </si>
  <si>
    <t>Fluor. Light</t>
  </si>
  <si>
    <t>TV b/w</t>
  </si>
  <si>
    <t>TV color</t>
  </si>
  <si>
    <t>Refrig</t>
  </si>
  <si>
    <t>Elec H2O Heat</t>
  </si>
  <si>
    <t>Air Cond</t>
  </si>
  <si>
    <t>Clothes Wash</t>
  </si>
  <si>
    <t>Beijing ('90)</t>
  </si>
  <si>
    <t>Manila ('90)</t>
  </si>
  <si>
    <t>Pune ('90)</t>
  </si>
  <si>
    <t>Thailand* ('90)</t>
  </si>
  <si>
    <t>Nanning ('90)</t>
  </si>
  <si>
    <t>Hong Kong ('90)</t>
  </si>
  <si>
    <t>Manaus ('92)</t>
  </si>
  <si>
    <t>End-use</t>
  </si>
  <si>
    <t>(kWh/year)</t>
  </si>
  <si>
    <t>Incandescent Lighting</t>
  </si>
  <si>
    <t>Fluorescent Lighting</t>
  </si>
  <si>
    <t>TV</t>
  </si>
  <si>
    <t>Refrig.</t>
  </si>
  <si>
    <t>El.Wat.heater</t>
  </si>
  <si>
    <t>Air condit.</t>
  </si>
  <si>
    <t>Clothes washer</t>
  </si>
  <si>
    <t>Annual MWh Consumption by End-Use</t>
  </si>
  <si>
    <t>Beijing</t>
  </si>
  <si>
    <t>Manila</t>
  </si>
  <si>
    <t>Pune</t>
  </si>
  <si>
    <t>Thailand</t>
  </si>
  <si>
    <t>Nanning</t>
  </si>
  <si>
    <t>Hong Kong</t>
  </si>
  <si>
    <t>Manaus</t>
  </si>
  <si>
    <t>Utility discount rate:</t>
  </si>
  <si>
    <t>Customer discount rate:</t>
  </si>
  <si>
    <t>Marginal cost:</t>
  </si>
  <si>
    <t>$/kWh</t>
  </si>
  <si>
    <t>Tariff:</t>
  </si>
  <si>
    <t>T&amp;D loss rate:</t>
  </si>
  <si>
    <t>Baseline consumption:</t>
  </si>
  <si>
    <t>kWh/yr</t>
  </si>
  <si>
    <t>Efficient consumption:</t>
  </si>
  <si>
    <t>Baseline capital cost:</t>
  </si>
  <si>
    <t>Efficient capital cost:</t>
  </si>
  <si>
    <t>CUSTOMER</t>
  </si>
  <si>
    <t>UTILITY Overall NPV =</t>
  </si>
  <si>
    <t>Baseline</t>
  </si>
  <si>
    <t>Efficient</t>
  </si>
  <si>
    <t>Capital Investment</t>
  </si>
  <si>
    <t>Lost Tariffs</t>
  </si>
  <si>
    <t>Marg. Cost Savings</t>
  </si>
  <si>
    <t>MC Savings Incl. T&amp;D</t>
  </si>
  <si>
    <t>NPV</t>
  </si>
  <si>
    <t>Initial Investment (yr 0)</t>
  </si>
  <si>
    <t>Lumen output:</t>
  </si>
  <si>
    <t>Baeline =</t>
  </si>
  <si>
    <t>lumens</t>
  </si>
  <si>
    <t xml:space="preserve">Efficient = </t>
  </si>
  <si>
    <t>Hotel Direct Expansion Air Conditioning Unit</t>
  </si>
  <si>
    <t>Lamp Model A</t>
  </si>
  <si>
    <t>Capital Cost</t>
  </si>
  <si>
    <t>Energy Cost</t>
  </si>
  <si>
    <t>Equipment Replacement Cost</t>
  </si>
  <si>
    <t>Total Cost</t>
  </si>
  <si>
    <t>Discount Rate</t>
  </si>
  <si>
    <t>Year 0</t>
  </si>
  <si>
    <t>End of Year 1</t>
  </si>
  <si>
    <t>End of Year 2</t>
  </si>
  <si>
    <t>End of Year 3</t>
  </si>
  <si>
    <t>End of Year 4</t>
  </si>
  <si>
    <t>End of Year 5</t>
  </si>
  <si>
    <t>Lamp Model B</t>
  </si>
  <si>
    <t>I.  Tariff schemes (US$/MWh)</t>
  </si>
  <si>
    <t xml:space="preserve">A.  Single tariff </t>
  </si>
  <si>
    <t>B.  Block tariff scheme</t>
  </si>
  <si>
    <t>C.  Time of use (T.O.U.) tariff</t>
  </si>
  <si>
    <t>scheme</t>
  </si>
  <si>
    <t>Consumption
kWh/month</t>
  </si>
  <si>
    <t>US$/MWh</t>
  </si>
  <si>
    <t>Period</t>
  </si>
  <si>
    <t>0-1000</t>
  </si>
  <si>
    <t>22:00 - 08:00</t>
  </si>
  <si>
    <t>1000-1500</t>
  </si>
  <si>
    <t>08:00 - 12:00</t>
  </si>
  <si>
    <t>over 1500</t>
  </si>
  <si>
    <t>12:00 - 18:00</t>
  </si>
  <si>
    <t>18:00 - 22:00</t>
  </si>
  <si>
    <t>Number of Staff by Type</t>
  </si>
  <si>
    <t>Staff Type</t>
  </si>
  <si>
    <t>Salary (US$/month)
8:00 - 20:00</t>
  </si>
  <si>
    <t>Salary (US$/month)
22:00 - 10:00</t>
  </si>
  <si>
    <t>Worker A</t>
  </si>
  <si>
    <t>Worker B</t>
  </si>
  <si>
    <t>Worker C</t>
  </si>
  <si>
    <t>Worker D</t>
  </si>
  <si>
    <t>Day Shift Consumption 
(W hr per hr)</t>
  </si>
  <si>
    <t>Night Shift
(W hr per hr)</t>
  </si>
  <si>
    <t>08:00 - 12:00 hs</t>
  </si>
  <si>
    <t>22:00 - 02:00</t>
  </si>
  <si>
    <t>12:00 - 14:00 hs</t>
  </si>
  <si>
    <t>02:00 - 04:00</t>
  </si>
  <si>
    <t>14:00 - 18:00 hs</t>
  </si>
  <si>
    <t>04:00 - 08:00</t>
  </si>
  <si>
    <t>18:00 - 20:00 hs</t>
  </si>
  <si>
    <t>08:00 - 10:00</t>
  </si>
  <si>
    <t>20:00 - 08:00 hs</t>
  </si>
  <si>
    <t>10:00 - 22:00</t>
  </si>
  <si>
    <t>Currently 1 shift only from 8:00 to 18:00</t>
  </si>
  <si>
    <t>Labor Cost</t>
  </si>
  <si>
    <t>per month</t>
  </si>
  <si>
    <t>Tariff A</t>
  </si>
  <si>
    <t>MWh per month =</t>
  </si>
  <si>
    <t>Tariff B</t>
  </si>
  <si>
    <t>Tariff C</t>
  </si>
  <si>
    <t xml:space="preserve">Cheapest Total Monthly Expenses = </t>
  </si>
  <si>
    <t>per month with Tariff A</t>
  </si>
  <si>
    <t xml:space="preserve">Tariff C Total Monthly Expense = </t>
  </si>
  <si>
    <t>Night Shift</t>
  </si>
  <si>
    <t xml:space="preserve">Night Shift Tariff C Total Monthly Expense = </t>
  </si>
  <si>
    <t>Total Number of Refrigerators in Base Year X =</t>
  </si>
  <si>
    <t>Model A Refrigerator Age (yrs)</t>
  </si>
  <si>
    <t>Percentage</t>
  </si>
  <si>
    <t>20-25</t>
  </si>
  <si>
    <t>15-20</t>
  </si>
  <si>
    <t>10-15</t>
  </si>
  <si>
    <t>5-10</t>
  </si>
  <si>
    <t>0-5</t>
  </si>
  <si>
    <t>Total</t>
  </si>
  <si>
    <t>Plan 1</t>
  </si>
  <si>
    <t>Plan 2</t>
  </si>
  <si>
    <t>Year</t>
  </si>
  <si>
    <t>Model A 40%</t>
  </si>
  <si>
    <t>Model B 60%</t>
  </si>
  <si>
    <t>MWh/yr</t>
  </si>
  <si>
    <t>Model A 70%</t>
  </si>
  <si>
    <t>Model B 30%</t>
  </si>
  <si>
    <t>Check</t>
  </si>
  <si>
    <t>Lamps Rebate Program - Total Cost Estimation</t>
  </si>
  <si>
    <t>Number of Households</t>
  </si>
  <si>
    <t>Number of Lamps/Household</t>
  </si>
  <si>
    <t>Annual kWh Savings per Lamp</t>
  </si>
  <si>
    <t>Lifetime of Bulb (years)</t>
  </si>
  <si>
    <t>Lamp Market Price (per lamp)</t>
  </si>
  <si>
    <t>Lamp Rebate (%)</t>
  </si>
  <si>
    <t>Participation (%) (Based on Rebate)</t>
  </si>
  <si>
    <t>Lamp Final Price to Household (per lamp)</t>
  </si>
  <si>
    <t>Lamp Cost to Utility (per lamp)</t>
  </si>
  <si>
    <t>Total Number of Lamps Adopted Through Program</t>
  </si>
  <si>
    <t>Program Participation Schedule:
Net Program Participation Level by Rebate Level</t>
  </si>
  <si>
    <t>Net Participation (%)</t>
  </si>
  <si>
    <t>Unit Cost</t>
  </si>
  <si>
    <t>Subtotal</t>
  </si>
  <si>
    <t>A. Program Fixed Cost</t>
  </si>
  <si>
    <t>Program Project &amp; Negotiation</t>
  </si>
  <si>
    <t>Marketing</t>
  </si>
  <si>
    <t xml:space="preserve">     Advertising Production</t>
  </si>
  <si>
    <t xml:space="preserve">     Campaign</t>
  </si>
  <si>
    <t>Staff Allocated to Program (total)</t>
  </si>
  <si>
    <t>Staff Training</t>
  </si>
  <si>
    <t>Operating Costs (installation)</t>
  </si>
  <si>
    <t>B. Program Variable Cost</t>
  </si>
  <si>
    <t>Lamp Cost to Utility</t>
  </si>
  <si>
    <t>Total Utility Cost</t>
  </si>
  <si>
    <t>Utility Discount Rate</t>
  </si>
  <si>
    <t>Utility Capital Recovery Factor</t>
  </si>
  <si>
    <t>Equivalent Annual Utility Program Cost</t>
  </si>
  <si>
    <t>/yr</t>
  </si>
  <si>
    <t>Total Annual kWh Saved</t>
  </si>
  <si>
    <t>Program Cost of Saved Energy</t>
  </si>
  <si>
    <t>/kWh</t>
  </si>
  <si>
    <t>Rebate Level</t>
  </si>
  <si>
    <t>Total Annual kWh Saved (kWh/yr)</t>
  </si>
  <si>
    <t>Cost of Saved Energy ($/kWh)</t>
  </si>
  <si>
    <t>-</t>
  </si>
  <si>
    <t xml:space="preserve">Power </t>
  </si>
  <si>
    <t>MCOE</t>
  </si>
  <si>
    <t>Emissions</t>
  </si>
  <si>
    <t>CAE vs</t>
  </si>
  <si>
    <t>Source</t>
  </si>
  <si>
    <t xml:space="preserve"> tSO2/GWh</t>
  </si>
  <si>
    <t>New Coal</t>
  </si>
  <si>
    <t>Exist Coal</t>
  </si>
  <si>
    <t>$/ton</t>
  </si>
  <si>
    <t>Hydro</t>
  </si>
  <si>
    <t>Existing Gas</t>
  </si>
  <si>
    <t>Existing Coal</t>
  </si>
  <si>
    <t>Retrofit Coal</t>
  </si>
  <si>
    <t>New Gas</t>
  </si>
  <si>
    <t>New Coal with Scrubbers</t>
  </si>
  <si>
    <t>DSM 1</t>
  </si>
  <si>
    <t>DSM 2</t>
  </si>
  <si>
    <t>Wind Farm</t>
  </si>
  <si>
    <t>Combustion Turbines</t>
  </si>
  <si>
    <t>No Emission Charges</t>
  </si>
  <si>
    <t>$600/tSO2 Emission Charge</t>
  </si>
  <si>
    <t>$600/tNOx Emission Charge</t>
  </si>
  <si>
    <t>Capacity</t>
  </si>
  <si>
    <t>Annual</t>
  </si>
  <si>
    <t>Variable</t>
  </si>
  <si>
    <t>Marginal</t>
  </si>
  <si>
    <t xml:space="preserve">Sunk </t>
  </si>
  <si>
    <t>Revenue</t>
  </si>
  <si>
    <t>(MW)</t>
  </si>
  <si>
    <t>Factor</t>
  </si>
  <si>
    <t>GWh</t>
  </si>
  <si>
    <t>Cost</t>
  </si>
  <si>
    <t>Capacity Cost</t>
  </si>
  <si>
    <t xml:space="preserve"> tSO2 per GWh</t>
  </si>
  <si>
    <t>tNOx per GWh</t>
  </si>
  <si>
    <t>Cost of Energy</t>
  </si>
  <si>
    <t>Requirements</t>
  </si>
  <si>
    <t>($/kWh)</t>
  </si>
  <si>
    <t>($/kW-yr)</t>
  </si>
  <si>
    <t>New Coal w/Scrubbers</t>
  </si>
  <si>
    <t>Power Source</t>
  </si>
  <si>
    <t>Capac. (MW)</t>
  </si>
  <si>
    <t>CF</t>
  </si>
  <si>
    <t>Annual GWh</t>
  </si>
  <si>
    <t>Variable Cost ($/kWh)</t>
  </si>
  <si>
    <t>Marginal Capacity Cost ($/kW-yr)</t>
  </si>
  <si>
    <t>Marginal Capacity Cost ($/kWh)</t>
  </si>
  <si>
    <t>MCOE ($/kWh)</t>
  </si>
  <si>
    <t>Sunk Capacity Cost ($/kW-yr)</t>
  </si>
  <si>
    <t>Revenue Requirements ($/kWh)</t>
  </si>
  <si>
    <t>Revenue Requirements (@13315 GWh/yr) ($million/yr)</t>
  </si>
  <si>
    <t>Revenue Requirements (@13000 GWh/yr) ($million/yr)</t>
  </si>
  <si>
    <t>Load Mgmt</t>
  </si>
  <si>
    <t>Average Rate ($/kWh):</t>
  </si>
  <si>
    <t>Note that Load Management revenue requirements must be calculated differently than the other resources because</t>
  </si>
  <si>
    <t>the concept of MCOE doesn't make sense for load management.  Therefore, the load management revenue requirement</t>
  </si>
  <si>
    <t>is calculated based strictly on the marginal capacity cost:  $50/kW-yr * 100 MW * 1000 kW/MW = $5.0 million/yr.</t>
  </si>
  <si>
    <t>Marginal Resource = Combustion Turbine</t>
  </si>
  <si>
    <t xml:space="preserve">Marginal Cost = </t>
  </si>
  <si>
    <t>Annual Revenue Requirements =</t>
  </si>
  <si>
    <t>million/yr</t>
  </si>
  <si>
    <t>Average Rate =</t>
  </si>
  <si>
    <t>If only 13000 GWh/yr are required, then we must decide how the dispatch is done.  The combustion turbine</t>
  </si>
  <si>
    <t>has the highest variable cost, but we will assume that its generation cannot be reduced because it is operated</t>
  </si>
  <si>
    <t>only at peak times when it is needed.  Therefore, we will assume that the resource with the next highest variable</t>
  </si>
  <si>
    <t>cost, the existing gas plant, will be the marginal resource under economic dispatch.</t>
  </si>
  <si>
    <t>Then, Annual Revenue Requirements =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</si>
</sst>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&quot;$&quot;#,##0"/>
    <numFmt numFmtId="172" formatCode="0.000%"/>
    <numFmt numFmtId="173" formatCode="General_)"/>
    <numFmt numFmtId="174" formatCode="0_)"/>
    <numFmt numFmtId="175" formatCode="0.0%"/>
    <numFmt numFmtId="176" formatCode="&quot;$&quot;#,##0.000"/>
    <numFmt numFmtId="177" formatCode="#,##0.000"/>
    <numFmt numFmtId="178" formatCode="0.000"/>
    <numFmt numFmtId="179" formatCode="0.0000"/>
    <numFmt numFmtId="180" formatCode="#,##0.0"/>
    <numFmt numFmtId="181" formatCode="&quot;$&quot;#,##0.0"/>
    <numFmt numFmtId="182" formatCode="&quot;$&quot;#,##0.0000"/>
    <numFmt numFmtId="183" formatCode="#,##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 wrapText="1"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2" fontId="0" fillId="0" borderId="0" xfId="17" applyNumberFormat="1" applyBorder="1" applyAlignment="1">
      <alignment horizontal="right" wrapText="1"/>
    </xf>
    <xf numFmtId="0" fontId="0" fillId="0" borderId="14" xfId="0" applyBorder="1" applyAlignment="1">
      <alignment horizontal="right"/>
    </xf>
    <xf numFmtId="170" fontId="0" fillId="0" borderId="0" xfId="0" applyNumberFormat="1" applyBorder="1" applyAlignment="1">
      <alignment/>
    </xf>
    <xf numFmtId="170" fontId="1" fillId="0" borderId="14" xfId="0" applyNumberFormat="1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right"/>
    </xf>
    <xf numFmtId="170" fontId="0" fillId="0" borderId="16" xfId="0" applyNumberFormat="1" applyBorder="1" applyAlignment="1">
      <alignment/>
    </xf>
    <xf numFmtId="170" fontId="0" fillId="0" borderId="16" xfId="15" applyNumberFormat="1" applyBorder="1" applyAlignment="1">
      <alignment/>
    </xf>
    <xf numFmtId="170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 wrapText="1"/>
    </xf>
    <xf numFmtId="1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1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wrapText="1"/>
    </xf>
    <xf numFmtId="175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 wrapText="1"/>
    </xf>
    <xf numFmtId="9" fontId="0" fillId="0" borderId="0" xfId="0" applyNumberForma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wrapText="1"/>
    </xf>
    <xf numFmtId="165" fontId="0" fillId="0" borderId="23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6" fontId="1" fillId="0" borderId="16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0" fontId="1" fillId="0" borderId="24" xfId="0" applyFont="1" applyBorder="1" applyAlignment="1">
      <alignment/>
    </xf>
    <xf numFmtId="171" fontId="0" fillId="0" borderId="25" xfId="0" applyNumberFormat="1" applyBorder="1" applyAlignment="1">
      <alignment/>
    </xf>
    <xf numFmtId="171" fontId="1" fillId="0" borderId="2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 quotePrefix="1">
      <alignment horizontal="center"/>
    </xf>
    <xf numFmtId="177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79" fontId="0" fillId="0" borderId="15" xfId="0" applyNumberFormat="1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179" fontId="0" fillId="0" borderId="19" xfId="0" applyNumberFormat="1" applyBorder="1" applyAlignment="1">
      <alignment/>
    </xf>
    <xf numFmtId="179" fontId="0" fillId="0" borderId="31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1" fontId="0" fillId="0" borderId="41" xfId="0" applyNumberFormat="1" applyBorder="1" applyAlignment="1">
      <alignment/>
    </xf>
    <xf numFmtId="179" fontId="0" fillId="0" borderId="42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Continuous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179" fontId="1" fillId="0" borderId="0" xfId="0" applyNumberFormat="1" applyFont="1" applyAlignment="1" quotePrefix="1">
      <alignment/>
    </xf>
    <xf numFmtId="183" fontId="1" fillId="0" borderId="0" xfId="0" applyNumberFormat="1" applyFont="1" applyAlignment="1">
      <alignment/>
    </xf>
    <xf numFmtId="0" fontId="0" fillId="0" borderId="7" xfId="0" applyBorder="1" applyAlignment="1">
      <alignment/>
    </xf>
    <xf numFmtId="179" fontId="0" fillId="0" borderId="7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179" fontId="0" fillId="0" borderId="9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425"/>
          <c:w val="0.737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'Ex. 3.10'!$C$12</c:f>
              <c:strCache>
                <c:ptCount val="1"/>
                <c:pt idx="0">
                  <c:v>Model A 40%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3.10'!$C$13:$C$39</c:f>
              <c:numCache>
                <c:ptCount val="27"/>
                <c:pt idx="1">
                  <c:v>1969684.0999999999</c:v>
                </c:pt>
                <c:pt idx="2">
                  <c:v>1934345.4727272727</c:v>
                </c:pt>
                <c:pt idx="3">
                  <c:v>1899006.8454545455</c:v>
                </c:pt>
                <c:pt idx="4">
                  <c:v>1863668.2181818183</c:v>
                </c:pt>
                <c:pt idx="5">
                  <c:v>1828329.590909091</c:v>
                </c:pt>
                <c:pt idx="6">
                  <c:v>1792990.9636363639</c:v>
                </c:pt>
                <c:pt idx="7">
                  <c:v>1757652.3363636367</c:v>
                </c:pt>
                <c:pt idx="8">
                  <c:v>1722313.7090909095</c:v>
                </c:pt>
                <c:pt idx="9">
                  <c:v>1686975.0818181823</c:v>
                </c:pt>
                <c:pt idx="10">
                  <c:v>1651636.454545455</c:v>
                </c:pt>
                <c:pt idx="11">
                  <c:v>1628327.9636363643</c:v>
                </c:pt>
                <c:pt idx="12">
                  <c:v>1605019.4727272736</c:v>
                </c:pt>
                <c:pt idx="13">
                  <c:v>1581710.9818181829</c:v>
                </c:pt>
                <c:pt idx="14">
                  <c:v>1558402.4909090921</c:v>
                </c:pt>
                <c:pt idx="15">
                  <c:v>1535094.0000000014</c:v>
                </c:pt>
                <c:pt idx="16">
                  <c:v>1511785.5090909107</c:v>
                </c:pt>
                <c:pt idx="17">
                  <c:v>1488477.01818182</c:v>
                </c:pt>
                <c:pt idx="18">
                  <c:v>1465168.5272727292</c:v>
                </c:pt>
                <c:pt idx="19">
                  <c:v>1441860.0363636385</c:v>
                </c:pt>
                <c:pt idx="20">
                  <c:v>1418551.5454545477</c:v>
                </c:pt>
                <c:pt idx="21">
                  <c:v>1395243.054545457</c:v>
                </c:pt>
                <c:pt idx="22">
                  <c:v>1371934.5636363663</c:v>
                </c:pt>
                <c:pt idx="23">
                  <c:v>1348626.0727272755</c:v>
                </c:pt>
                <c:pt idx="24">
                  <c:v>1325317.5818181848</c:v>
                </c:pt>
                <c:pt idx="25">
                  <c:v>1302009.090909094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'Ex. 3.10'!$D$12</c:f>
              <c:strCache>
                <c:ptCount val="1"/>
                <c:pt idx="0">
                  <c:v>Model B 60%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3.10'!$D$13:$D$39</c:f>
              <c:numCache>
                <c:ptCount val="27"/>
                <c:pt idx="1">
                  <c:v>190866.13923445</c:v>
                </c:pt>
                <c:pt idx="2">
                  <c:v>276204.76650717726</c:v>
                </c:pt>
                <c:pt idx="3">
                  <c:v>361543.3937799045</c:v>
                </c:pt>
                <c:pt idx="4">
                  <c:v>446882.0210526318</c:v>
                </c:pt>
                <c:pt idx="5">
                  <c:v>532220.6483253591</c:v>
                </c:pt>
                <c:pt idx="6">
                  <c:v>617559.2755980864</c:v>
                </c:pt>
                <c:pt idx="7">
                  <c:v>702897.9028708137</c:v>
                </c:pt>
                <c:pt idx="8">
                  <c:v>788236.530143541</c:v>
                </c:pt>
                <c:pt idx="9">
                  <c:v>873575.1574162684</c:v>
                </c:pt>
                <c:pt idx="10">
                  <c:v>958913.7846889957</c:v>
                </c:pt>
                <c:pt idx="11">
                  <c:v>1032222.2755980866</c:v>
                </c:pt>
                <c:pt idx="12">
                  <c:v>1105530.7665071776</c:v>
                </c:pt>
                <c:pt idx="13">
                  <c:v>1178839.2574162686</c:v>
                </c:pt>
                <c:pt idx="14">
                  <c:v>1252147.7483253595</c:v>
                </c:pt>
                <c:pt idx="15">
                  <c:v>1325456.2392344505</c:v>
                </c:pt>
                <c:pt idx="16">
                  <c:v>1398764.7301435415</c:v>
                </c:pt>
                <c:pt idx="17">
                  <c:v>1472073.2210526324</c:v>
                </c:pt>
                <c:pt idx="18">
                  <c:v>1545381.7119617234</c:v>
                </c:pt>
                <c:pt idx="19">
                  <c:v>1618690.2028708144</c:v>
                </c:pt>
                <c:pt idx="20">
                  <c:v>1691998.6937799053</c:v>
                </c:pt>
                <c:pt idx="21">
                  <c:v>1765307.1846889963</c:v>
                </c:pt>
                <c:pt idx="22">
                  <c:v>1838615.6755980873</c:v>
                </c:pt>
                <c:pt idx="23">
                  <c:v>1911924.1665071782</c:v>
                </c:pt>
                <c:pt idx="24">
                  <c:v>1985232.6574162692</c:v>
                </c:pt>
                <c:pt idx="25">
                  <c:v>2058541.1483253601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'Ex. 3.10'!$F$12</c:f>
              <c:strCache>
                <c:ptCount val="1"/>
                <c:pt idx="0">
                  <c:v>Model A 70%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3.10'!$F$13:$F$39</c:f>
              <c:numCache>
                <c:ptCount val="27"/>
                <c:pt idx="1">
                  <c:v>2012353.4136363633</c:v>
                </c:pt>
                <c:pt idx="2">
                  <c:v>2019684.0999999999</c:v>
                </c:pt>
                <c:pt idx="3">
                  <c:v>2027014.7863636364</c:v>
                </c:pt>
                <c:pt idx="4">
                  <c:v>2034345.472727273</c:v>
                </c:pt>
                <c:pt idx="5">
                  <c:v>2041676.1590909094</c:v>
                </c:pt>
                <c:pt idx="6">
                  <c:v>2049006.845454546</c:v>
                </c:pt>
                <c:pt idx="7">
                  <c:v>2056337.5318181824</c:v>
                </c:pt>
                <c:pt idx="8">
                  <c:v>2063668.218181819</c:v>
                </c:pt>
                <c:pt idx="9">
                  <c:v>2070998.9045454555</c:v>
                </c:pt>
                <c:pt idx="10">
                  <c:v>2078329.590909092</c:v>
                </c:pt>
                <c:pt idx="11">
                  <c:v>2091675.3454545466</c:v>
                </c:pt>
                <c:pt idx="12">
                  <c:v>2105021.100000001</c:v>
                </c:pt>
                <c:pt idx="13">
                  <c:v>2118366.8545454554</c:v>
                </c:pt>
                <c:pt idx="14">
                  <c:v>2131712.60909091</c:v>
                </c:pt>
                <c:pt idx="15">
                  <c:v>2145058.363636364</c:v>
                </c:pt>
                <c:pt idx="16">
                  <c:v>2158404.1181818186</c:v>
                </c:pt>
                <c:pt idx="17">
                  <c:v>2171749.872727273</c:v>
                </c:pt>
                <c:pt idx="18">
                  <c:v>2185095.6272727274</c:v>
                </c:pt>
                <c:pt idx="19">
                  <c:v>2198441.381818182</c:v>
                </c:pt>
                <c:pt idx="20">
                  <c:v>2211787.1363636362</c:v>
                </c:pt>
                <c:pt idx="21">
                  <c:v>2225132.8909090906</c:v>
                </c:pt>
                <c:pt idx="22">
                  <c:v>2238478.645454545</c:v>
                </c:pt>
                <c:pt idx="23">
                  <c:v>2251824.3999999994</c:v>
                </c:pt>
                <c:pt idx="24">
                  <c:v>2265170.154545454</c:v>
                </c:pt>
                <c:pt idx="25">
                  <c:v>2278515.9090909082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'Ex. 3.10'!$G$12</c:f>
              <c:strCache>
                <c:ptCount val="1"/>
                <c:pt idx="0">
                  <c:v>Model B 30%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3.10'!$G$13:$G$39</c:f>
              <c:numCache>
                <c:ptCount val="27"/>
                <c:pt idx="1">
                  <c:v>148196.82559808638</c:v>
                </c:pt>
                <c:pt idx="2">
                  <c:v>190866.13923445</c:v>
                </c:pt>
                <c:pt idx="3">
                  <c:v>233535.45287081363</c:v>
                </c:pt>
                <c:pt idx="4">
                  <c:v>276204.76650717726</c:v>
                </c:pt>
                <c:pt idx="5">
                  <c:v>318874.0801435409</c:v>
                </c:pt>
                <c:pt idx="6">
                  <c:v>361543.3937799046</c:v>
                </c:pt>
                <c:pt idx="7">
                  <c:v>404212.70741626824</c:v>
                </c:pt>
                <c:pt idx="8">
                  <c:v>446882.0210526319</c:v>
                </c:pt>
                <c:pt idx="9">
                  <c:v>489551.33468899556</c:v>
                </c:pt>
                <c:pt idx="10">
                  <c:v>532220.6483253592</c:v>
                </c:pt>
                <c:pt idx="11">
                  <c:v>568874.8937799047</c:v>
                </c:pt>
                <c:pt idx="12">
                  <c:v>605529.1392344502</c:v>
                </c:pt>
                <c:pt idx="13">
                  <c:v>642183.3846889957</c:v>
                </c:pt>
                <c:pt idx="14">
                  <c:v>678837.6301435411</c:v>
                </c:pt>
                <c:pt idx="15">
                  <c:v>715491.8755980866</c:v>
                </c:pt>
                <c:pt idx="16">
                  <c:v>752146.1210526321</c:v>
                </c:pt>
                <c:pt idx="17">
                  <c:v>788800.3665071776</c:v>
                </c:pt>
                <c:pt idx="18">
                  <c:v>825454.6119617231</c:v>
                </c:pt>
                <c:pt idx="19">
                  <c:v>862108.8574162686</c:v>
                </c:pt>
                <c:pt idx="20">
                  <c:v>898763.102870814</c:v>
                </c:pt>
                <c:pt idx="21">
                  <c:v>935417.3483253595</c:v>
                </c:pt>
                <c:pt idx="22">
                  <c:v>972071.593779905</c:v>
                </c:pt>
                <c:pt idx="23">
                  <c:v>1008725.8392344505</c:v>
                </c:pt>
                <c:pt idx="24">
                  <c:v>1045380.084688996</c:v>
                </c:pt>
                <c:pt idx="25">
                  <c:v>1082034.3301435413</c:v>
                </c:pt>
              </c:numCache>
            </c:numRef>
          </c:val>
          <c:smooth val="0"/>
        </c:ser>
        <c:marker val="1"/>
        <c:axId val="4286167"/>
        <c:axId val="38575504"/>
      </c:lineChart>
      <c:barChart>
        <c:barDir val="col"/>
        <c:grouping val="clustered"/>
        <c:varyColors val="0"/>
        <c:ser>
          <c:idx val="4"/>
          <c:order val="4"/>
          <c:tx>
            <c:v>Plan 1 Annual MWh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3.10'!$E$13:$E$39</c:f>
              <c:numCache>
                <c:ptCount val="27"/>
                <c:pt idx="1">
                  <c:v>1652093.73569378</c:v>
                </c:pt>
                <c:pt idx="5">
                  <c:v>1675551.9320574165</c:v>
                </c:pt>
                <c:pt idx="10">
                  <c:v>1704874.6775119621</c:v>
                </c:pt>
                <c:pt idx="15">
                  <c:v>1758257.6956937814</c:v>
                </c:pt>
                <c:pt idx="20">
                  <c:v>1811640.7138756004</c:v>
                </c:pt>
                <c:pt idx="25">
                  <c:v>1865023.7320574194</c:v>
                </c:pt>
              </c:numCache>
            </c:numRef>
          </c:val>
        </c:ser>
        <c:ser>
          <c:idx val="5"/>
          <c:order val="5"/>
          <c:tx>
            <c:v>Plan 2 Annual MWh</c:v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'Ex. 3.10'!$A$13:$A$39</c:f>
              <c:numCache>
                <c:ptCount val="2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'Ex. 3.10'!$H$13:$H$39</c:f>
              <c:numCache>
                <c:ptCount val="27"/>
                <c:pt idx="1">
                  <c:v>1669161.4611483251</c:v>
                </c:pt>
                <c:pt idx="5">
                  <c:v>1760890.559330144</c:v>
                </c:pt>
                <c:pt idx="10">
                  <c:v>1875551.9320574175</c:v>
                </c:pt>
                <c:pt idx="15">
                  <c:v>2002243.4411483263</c:v>
                </c:pt>
                <c:pt idx="20">
                  <c:v>2128934.9502392346</c:v>
                </c:pt>
                <c:pt idx="25">
                  <c:v>2255626.459330143</c:v>
                </c:pt>
              </c:numCache>
            </c:numRef>
          </c:val>
        </c:ser>
        <c:gapWidth val="0"/>
        <c:axId val="11635217"/>
        <c:axId val="37608090"/>
      </c:bar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75504"/>
        <c:crosses val="autoZero"/>
        <c:auto val="0"/>
        <c:lblOffset val="100"/>
        <c:noMultiLvlLbl val="0"/>
      </c:catAx>
      <c:valAx>
        <c:axId val="3857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Refrigerators (Line Chart)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6167"/>
        <c:crossesAt val="1"/>
        <c:crossBetween val="midCat"/>
        <c:dispUnits/>
      </c:valAx>
      <c:catAx>
        <c:axId val="11635217"/>
        <c:scaling>
          <c:orientation val="minMax"/>
        </c:scaling>
        <c:axPos val="b"/>
        <c:delete val="1"/>
        <c:majorTickMark val="in"/>
        <c:minorTickMark val="none"/>
        <c:tickLblPos val="nextTo"/>
        <c:crossAx val="37608090"/>
        <c:crosses val="autoZero"/>
        <c:auto val="0"/>
        <c:lblOffset val="100"/>
        <c:noMultiLvlLbl val="0"/>
      </c:cat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MWh Consumption (Bar Chart)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3521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60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ak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Residential, Old"/>
      <sheetName val="Revised Residential"/>
    </sheetNames>
    <sheetDataSet>
      <sheetData sheetId="1">
        <row r="11">
          <cell r="C11">
            <v>376794.2583732057</v>
          </cell>
        </row>
        <row r="12">
          <cell r="C12">
            <v>803827.7511961722</v>
          </cell>
        </row>
        <row r="13">
          <cell r="C13">
            <v>703349.2822966508</v>
          </cell>
        </row>
        <row r="14">
          <cell r="C14">
            <v>627990.4306220096</v>
          </cell>
          <cell r="G14">
            <v>0.7</v>
          </cell>
          <cell r="H14">
            <v>0.79</v>
          </cell>
          <cell r="I14">
            <v>0.83</v>
          </cell>
          <cell r="J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9.57421875" style="0" customWidth="1"/>
    <col min="5" max="5" width="9.28125" style="0" customWidth="1"/>
    <col min="7" max="8" width="8.7109375" style="0" customWidth="1"/>
  </cols>
  <sheetData>
    <row r="1" ht="12.75">
      <c r="A1" s="3" t="s">
        <v>0</v>
      </c>
    </row>
    <row r="2" spans="1:10" ht="38.25">
      <c r="A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.75">
      <c r="A3" t="s">
        <v>11</v>
      </c>
      <c r="B3">
        <v>2416918</v>
      </c>
      <c r="C3" s="1">
        <v>0.88</v>
      </c>
      <c r="D3" s="1">
        <v>0.93</v>
      </c>
      <c r="E3" s="1">
        <v>0.42</v>
      </c>
      <c r="F3" s="1">
        <v>0.77</v>
      </c>
      <c r="G3" s="1">
        <v>0.87</v>
      </c>
      <c r="H3" s="1">
        <v>0.01</v>
      </c>
      <c r="I3" s="1">
        <v>0.02</v>
      </c>
      <c r="J3" s="1">
        <v>0.84</v>
      </c>
    </row>
    <row r="4" spans="1:7" ht="12.75">
      <c r="A4" t="s">
        <v>12</v>
      </c>
      <c r="B4">
        <v>1520913</v>
      </c>
      <c r="C4" s="1">
        <v>0.85</v>
      </c>
      <c r="D4" s="1">
        <v>0.88</v>
      </c>
      <c r="E4" s="1">
        <v>0.41</v>
      </c>
      <c r="F4" s="1">
        <v>0.55</v>
      </c>
      <c r="G4" s="1">
        <v>0.93</v>
      </c>
    </row>
    <row r="5" spans="1:10" ht="12.75">
      <c r="A5" t="s">
        <v>13</v>
      </c>
      <c r="B5">
        <v>323194</v>
      </c>
      <c r="C5" s="1">
        <v>0.86</v>
      </c>
      <c r="D5" s="1">
        <v>0.84</v>
      </c>
      <c r="E5" s="1">
        <v>0.4</v>
      </c>
      <c r="F5" s="1">
        <v>0.38</v>
      </c>
      <c r="G5" s="1">
        <v>0.4</v>
      </c>
      <c r="H5" s="1">
        <v>0.41</v>
      </c>
      <c r="I5" s="1">
        <v>0.02</v>
      </c>
      <c r="J5" s="1">
        <v>0.08</v>
      </c>
    </row>
    <row r="6" spans="1:10" ht="12.75">
      <c r="A6" t="s">
        <v>14</v>
      </c>
      <c r="B6">
        <v>1446262</v>
      </c>
      <c r="C6" s="1">
        <v>0.57</v>
      </c>
      <c r="D6" s="1">
        <v>0.98</v>
      </c>
      <c r="G6" s="1">
        <v>0.82</v>
      </c>
      <c r="H6" s="1">
        <v>0.05</v>
      </c>
      <c r="I6" s="1">
        <v>0.15</v>
      </c>
      <c r="J6" s="1">
        <v>0.2</v>
      </c>
    </row>
    <row r="7" spans="1:10" ht="12.75">
      <c r="A7" t="s">
        <v>15</v>
      </c>
      <c r="B7">
        <v>286533</v>
      </c>
      <c r="G7" s="1">
        <v>0.54</v>
      </c>
      <c r="I7" s="1">
        <v>0</v>
      </c>
      <c r="J7" s="1">
        <v>0.76</v>
      </c>
    </row>
    <row r="8" spans="1:10" ht="12.75">
      <c r="A8" t="s">
        <v>16</v>
      </c>
      <c r="B8">
        <v>1030928</v>
      </c>
      <c r="E8" s="1">
        <v>0.02</v>
      </c>
      <c r="F8" s="1">
        <v>0.98</v>
      </c>
      <c r="G8" s="1">
        <v>0.98</v>
      </c>
      <c r="H8" s="1">
        <v>0.17</v>
      </c>
      <c r="I8" s="1">
        <v>0.51</v>
      </c>
      <c r="J8" s="1">
        <v>0.89</v>
      </c>
    </row>
    <row r="9" spans="1:10" ht="12.75">
      <c r="A9" t="s">
        <v>17</v>
      </c>
      <c r="B9">
        <v>201000</v>
      </c>
      <c r="C9" s="1">
        <v>0.98</v>
      </c>
      <c r="D9" s="1">
        <v>0.6</v>
      </c>
      <c r="E9" s="1">
        <v>0.3</v>
      </c>
      <c r="F9" s="1">
        <v>0.84</v>
      </c>
      <c r="G9" s="1">
        <v>0.84</v>
      </c>
      <c r="H9" s="1">
        <v>0.61</v>
      </c>
      <c r="I9" s="1">
        <v>0.5</v>
      </c>
      <c r="J9" s="1">
        <v>0.13</v>
      </c>
    </row>
    <row r="12" spans="1:2" ht="12.75">
      <c r="A12" t="s">
        <v>18</v>
      </c>
      <c r="B12" t="s">
        <v>19</v>
      </c>
    </row>
    <row r="13" spans="1:2" ht="12.75">
      <c r="A13" t="s">
        <v>20</v>
      </c>
      <c r="B13">
        <v>15</v>
      </c>
    </row>
    <row r="14" spans="1:2" ht="12.75">
      <c r="A14" t="s">
        <v>21</v>
      </c>
      <c r="B14">
        <v>26</v>
      </c>
    </row>
    <row r="15" spans="1:2" ht="12.75">
      <c r="A15" t="s">
        <v>22</v>
      </c>
      <c r="B15">
        <v>174</v>
      </c>
    </row>
    <row r="16" spans="1:2" ht="12.75">
      <c r="A16" t="s">
        <v>23</v>
      </c>
      <c r="B16">
        <v>763</v>
      </c>
    </row>
    <row r="17" spans="1:2" ht="12.75">
      <c r="A17" t="s">
        <v>24</v>
      </c>
      <c r="B17">
        <v>431</v>
      </c>
    </row>
    <row r="18" spans="1:2" ht="12.75">
      <c r="A18" t="s">
        <v>25</v>
      </c>
      <c r="B18">
        <v>1115</v>
      </c>
    </row>
    <row r="19" spans="1:2" ht="12.75">
      <c r="A19" t="s">
        <v>26</v>
      </c>
      <c r="B19">
        <v>265</v>
      </c>
    </row>
    <row r="20" ht="13.5" thickBot="1"/>
    <row r="21" spans="1:9" ht="12.75">
      <c r="A21" s="8" t="s">
        <v>27</v>
      </c>
      <c r="B21" s="9"/>
      <c r="C21" s="9"/>
      <c r="D21" s="9"/>
      <c r="E21" s="9"/>
      <c r="F21" s="9"/>
      <c r="G21" s="9"/>
      <c r="H21" s="9"/>
      <c r="I21" s="5"/>
    </row>
    <row r="22" spans="1:9" ht="26.25" customHeight="1">
      <c r="A22" s="10" t="str">
        <f>A2</f>
        <v>City</v>
      </c>
      <c r="B22" s="11" t="str">
        <f aca="true" t="shared" si="0" ref="B22:I22">C2</f>
        <v>Incand Light</v>
      </c>
      <c r="C22" s="11" t="str">
        <f t="shared" si="0"/>
        <v>Fluor. Light</v>
      </c>
      <c r="D22" s="11" t="str">
        <f t="shared" si="0"/>
        <v>TV b/w</v>
      </c>
      <c r="E22" s="11" t="str">
        <f t="shared" si="0"/>
        <v>TV color</v>
      </c>
      <c r="F22" s="11" t="str">
        <f t="shared" si="0"/>
        <v>Refrig</v>
      </c>
      <c r="G22" s="11" t="str">
        <f t="shared" si="0"/>
        <v>Elec H2O Heat</v>
      </c>
      <c r="H22" s="11" t="str">
        <f t="shared" si="0"/>
        <v>Air Cond</v>
      </c>
      <c r="I22" s="6" t="str">
        <f t="shared" si="0"/>
        <v>Clothes Wash</v>
      </c>
    </row>
    <row r="23" spans="1:9" ht="12.75">
      <c r="A23" s="12" t="s">
        <v>28</v>
      </c>
      <c r="B23" s="13">
        <f>$B3*C3*$B$13/1000</f>
        <v>31903.3176</v>
      </c>
      <c r="C23" s="13">
        <f>$B3*D3*$B$14/1000</f>
        <v>58441.077240000006</v>
      </c>
      <c r="D23" s="13">
        <f>$B3*E3*$B$15/1000</f>
        <v>176628.36744</v>
      </c>
      <c r="E23" s="13">
        <f>$B3*F3*$B$15/1000</f>
        <v>323818.67364000005</v>
      </c>
      <c r="F23" s="13">
        <f>$B3*G3*$B$16/1000</f>
        <v>1604374.33758</v>
      </c>
      <c r="G23" s="13">
        <f>$B3*H3*$B$17/1000</f>
        <v>10416.916580000001</v>
      </c>
      <c r="H23" s="13">
        <f>$B3*I3*$B$18/1000</f>
        <v>53897.2714</v>
      </c>
      <c r="I23" s="7">
        <f>$B3*J3*$B$19/1000</f>
        <v>538005.9467999999</v>
      </c>
    </row>
    <row r="24" spans="1:9" ht="12.75">
      <c r="A24" s="12" t="s">
        <v>29</v>
      </c>
      <c r="B24" s="13">
        <f aca="true" t="shared" si="1" ref="B24:B29">$B4*C4*$B$13/1000</f>
        <v>19391.64075</v>
      </c>
      <c r="C24" s="13">
        <f aca="true" t="shared" si="2" ref="C24:C29">$B4*D4*$B$14/1000</f>
        <v>34798.48944</v>
      </c>
      <c r="D24" s="13">
        <f aca="true" t="shared" si="3" ref="D24:E29">$B4*E4*$B$15/1000</f>
        <v>108501.93341999999</v>
      </c>
      <c r="E24" s="13">
        <f t="shared" si="3"/>
        <v>145551.3741</v>
      </c>
      <c r="F24" s="13">
        <f aca="true" t="shared" si="4" ref="F24:F29">$B4*G4*$B$16/1000</f>
        <v>1079224.65567</v>
      </c>
      <c r="G24" s="13"/>
      <c r="H24" s="13"/>
      <c r="I24" s="7"/>
    </row>
    <row r="25" spans="1:9" ht="12.75">
      <c r="A25" s="12" t="s">
        <v>30</v>
      </c>
      <c r="B25" s="13">
        <f t="shared" si="1"/>
        <v>4169.2026</v>
      </c>
      <c r="C25" s="13">
        <f t="shared" si="2"/>
        <v>7058.556959999999</v>
      </c>
      <c r="D25" s="13">
        <f t="shared" si="3"/>
        <v>22494.3024</v>
      </c>
      <c r="E25" s="13">
        <f t="shared" si="3"/>
        <v>21369.58728</v>
      </c>
      <c r="F25" s="13">
        <f t="shared" si="4"/>
        <v>98638.8088</v>
      </c>
      <c r="G25" s="13">
        <f>$B5*H5*$B$17/1000</f>
        <v>57111.61173999999</v>
      </c>
      <c r="H25" s="13">
        <f>$B5*I5*$B$18/1000</f>
        <v>7207.2262</v>
      </c>
      <c r="I25" s="7">
        <f>$B5*J5*$B$19/1000</f>
        <v>6851.7128</v>
      </c>
    </row>
    <row r="26" spans="1:9" ht="12.75">
      <c r="A26" s="12" t="s">
        <v>31</v>
      </c>
      <c r="B26" s="13">
        <f t="shared" si="1"/>
        <v>12365.5401</v>
      </c>
      <c r="C26" s="13">
        <f t="shared" si="2"/>
        <v>36850.75576</v>
      </c>
      <c r="D26" s="13"/>
      <c r="E26" s="13"/>
      <c r="F26" s="13">
        <f t="shared" si="4"/>
        <v>904868.2829199998</v>
      </c>
      <c r="G26" s="13">
        <f>$B6*H6*$B$17/1000</f>
        <v>31166.9461</v>
      </c>
      <c r="H26" s="13">
        <f>$B6*I6*$B$18/1000</f>
        <v>241887.3195</v>
      </c>
      <c r="I26" s="7">
        <f>$B6*J6*$B$19/1000</f>
        <v>76651.886</v>
      </c>
    </row>
    <row r="27" spans="1:9" ht="12.75">
      <c r="A27" s="12" t="s">
        <v>32</v>
      </c>
      <c r="B27" s="13"/>
      <c r="C27" s="13"/>
      <c r="D27" s="13"/>
      <c r="E27" s="13"/>
      <c r="F27" s="13">
        <f t="shared" si="4"/>
        <v>118057.32666</v>
      </c>
      <c r="G27" s="13"/>
      <c r="H27" s="13"/>
      <c r="I27" s="7">
        <f>$B7*J7*$B$19/1000</f>
        <v>57707.7462</v>
      </c>
    </row>
    <row r="28" spans="1:9" ht="12.75">
      <c r="A28" s="12" t="s">
        <v>33</v>
      </c>
      <c r="B28" s="13"/>
      <c r="C28" s="13"/>
      <c r="D28" s="13">
        <f t="shared" si="3"/>
        <v>3587.6294400000006</v>
      </c>
      <c r="E28" s="13">
        <f t="shared" si="3"/>
        <v>175793.84256</v>
      </c>
      <c r="F28" s="13">
        <f t="shared" si="4"/>
        <v>770866.10272</v>
      </c>
      <c r="G28" s="13">
        <f>$B8*H8*$B$17/1000</f>
        <v>75536.09456</v>
      </c>
      <c r="H28" s="13">
        <f>$B8*I8*$B$18/1000</f>
        <v>586237.2072000001</v>
      </c>
      <c r="I28" s="7">
        <f>$B8*J8*$B$19/1000</f>
        <v>243144.36880000003</v>
      </c>
    </row>
    <row r="29" spans="1:9" ht="13.5" thickBot="1">
      <c r="A29" s="14" t="s">
        <v>34</v>
      </c>
      <c r="B29" s="15">
        <f t="shared" si="1"/>
        <v>2954.7</v>
      </c>
      <c r="C29" s="15">
        <f t="shared" si="2"/>
        <v>3135.6</v>
      </c>
      <c r="D29" s="15">
        <f t="shared" si="3"/>
        <v>10492.2</v>
      </c>
      <c r="E29" s="15">
        <f t="shared" si="3"/>
        <v>29378.16</v>
      </c>
      <c r="F29" s="15">
        <f t="shared" si="4"/>
        <v>128824.92</v>
      </c>
      <c r="G29" s="15">
        <f>$B9*H9*$B$17/1000</f>
        <v>52844.91</v>
      </c>
      <c r="H29" s="15">
        <f>$B9*I9*$B$18/1000</f>
        <v>112057.5</v>
      </c>
      <c r="I29" s="4">
        <f>$B9*J9*$B$19/1000</f>
        <v>6924.45</v>
      </c>
    </row>
    <row r="31" ht="12.75">
      <c r="A31" s="3"/>
    </row>
    <row r="32" ht="12.75">
      <c r="B32" s="16"/>
    </row>
    <row r="33" ht="12.75">
      <c r="B33" s="16"/>
    </row>
    <row r="36" ht="12.75">
      <c r="B36" s="16"/>
    </row>
    <row r="37" ht="12.75">
      <c r="B37" s="17"/>
    </row>
    <row r="38" ht="12.75">
      <c r="B38" s="17"/>
    </row>
    <row r="39" ht="12.75">
      <c r="B39" s="18"/>
    </row>
    <row r="40" ht="12.75">
      <c r="B40" s="18"/>
    </row>
    <row r="41" spans="2:3" ht="12.75">
      <c r="B41" s="20"/>
      <c r="C41" s="21"/>
    </row>
    <row r="42" spans="2:8" ht="25.5" customHeight="1">
      <c r="B42" s="22"/>
      <c r="C42" s="22"/>
      <c r="E42" s="23"/>
      <c r="F42" s="23"/>
      <c r="G42" s="23"/>
      <c r="H42" s="23"/>
    </row>
    <row r="43" spans="2:3" ht="12.75">
      <c r="B43" s="19"/>
      <c r="C43" s="19"/>
    </row>
    <row r="44" spans="2:3" ht="12.75">
      <c r="B44" s="18"/>
      <c r="C44" s="18"/>
    </row>
    <row r="45" spans="2:3" ht="12.75">
      <c r="B45" s="18"/>
      <c r="C45" s="18"/>
    </row>
    <row r="46" spans="2:3" ht="12.75">
      <c r="B46" s="18"/>
      <c r="C46" s="18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8"/>
      <c r="C49" s="18"/>
    </row>
    <row r="50" spans="2:3" ht="12.75">
      <c r="B50" s="18"/>
      <c r="C50" s="18"/>
    </row>
    <row r="51" spans="2:3" ht="12.75">
      <c r="B51" s="18"/>
      <c r="C51" s="18"/>
    </row>
    <row r="52" spans="2:3" ht="12.75">
      <c r="B52" s="18"/>
      <c r="C52" s="18"/>
    </row>
    <row r="53" spans="2:3" ht="12.75">
      <c r="B53" s="18"/>
      <c r="C53" s="18"/>
    </row>
    <row r="54" spans="2:3" ht="12.75">
      <c r="B54" s="18"/>
      <c r="C54" s="18"/>
    </row>
    <row r="55" spans="2:3" ht="12.75">
      <c r="B55" s="18"/>
      <c r="C55" s="18"/>
    </row>
    <row r="56" spans="2:3" ht="12.75">
      <c r="B56" s="18"/>
      <c r="C56" s="18"/>
    </row>
    <row r="57" spans="2:3" ht="12.75">
      <c r="B57" s="18"/>
      <c r="C57" s="18"/>
    </row>
    <row r="58" spans="2:3" ht="12.75">
      <c r="B58" s="18"/>
      <c r="C58" s="18"/>
    </row>
    <row r="59" spans="2:3" ht="12.75">
      <c r="B59" s="18"/>
      <c r="C59" s="18"/>
    </row>
    <row r="60" spans="2:3" ht="12.75">
      <c r="B60" s="18"/>
      <c r="C60" s="18"/>
    </row>
    <row r="61" spans="2:3" ht="12.75">
      <c r="B61" s="18"/>
      <c r="C61" s="18"/>
    </row>
    <row r="62" spans="2:3" ht="12.75">
      <c r="B62" s="18"/>
      <c r="C62" s="18"/>
    </row>
    <row r="63" spans="2:3" ht="12.75">
      <c r="B63" s="18"/>
      <c r="C63" s="18"/>
    </row>
    <row r="64" spans="2:3" ht="12.75">
      <c r="B64" s="18"/>
      <c r="C64" s="18"/>
    </row>
    <row r="65" spans="2:3" ht="12.75">
      <c r="B65" s="18"/>
      <c r="C65" s="18"/>
    </row>
    <row r="66" spans="2:3" ht="12.75">
      <c r="B66" s="18"/>
      <c r="C66" s="18"/>
    </row>
    <row r="67" spans="2:3" ht="12.75">
      <c r="B67" s="18"/>
      <c r="C67" s="18"/>
    </row>
    <row r="68" spans="2:3" ht="12.75">
      <c r="B68" s="18"/>
      <c r="C68" s="18"/>
    </row>
    <row r="69" spans="2:3" ht="12.75">
      <c r="B69" s="18"/>
      <c r="C69" s="1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35">
      <selection activeCell="A47" sqref="A47"/>
    </sheetView>
  </sheetViews>
  <sheetFormatPr defaultColWidth="9.140625" defaultRowHeight="12.75"/>
  <cols>
    <col min="1" max="1" width="41.28125" style="0" customWidth="1"/>
    <col min="2" max="2" width="9.140625" style="0" customWidth="1"/>
    <col min="3" max="3" width="11.28125" style="0" customWidth="1"/>
  </cols>
  <sheetData>
    <row r="1" spans="1:4" ht="12.75">
      <c r="A1" s="26" t="s">
        <v>139</v>
      </c>
      <c r="B1" s="45"/>
      <c r="C1" s="45"/>
      <c r="D1" s="46"/>
    </row>
    <row r="2" spans="1:4" ht="12.75">
      <c r="A2" s="36"/>
      <c r="B2" s="37"/>
      <c r="C2" s="37"/>
      <c r="D2" s="38"/>
    </row>
    <row r="3" spans="1:4" ht="12.75">
      <c r="A3" s="36" t="s">
        <v>140</v>
      </c>
      <c r="B3" s="69">
        <v>30000</v>
      </c>
      <c r="C3" s="37"/>
      <c r="D3" s="38"/>
    </row>
    <row r="4" spans="1:4" ht="12.75">
      <c r="A4" s="36" t="s">
        <v>141</v>
      </c>
      <c r="B4" s="37">
        <v>2</v>
      </c>
      <c r="C4" s="37"/>
      <c r="D4" s="38"/>
    </row>
    <row r="5" spans="1:4" ht="12.75">
      <c r="A5" s="36" t="s">
        <v>142</v>
      </c>
      <c r="B5" s="69">
        <f>62*2000/1000</f>
        <v>124</v>
      </c>
      <c r="C5" s="37"/>
      <c r="D5" s="38"/>
    </row>
    <row r="6" spans="1:4" ht="12.75">
      <c r="A6" s="36" t="s">
        <v>143</v>
      </c>
      <c r="B6" s="69">
        <f>10000/2000</f>
        <v>5</v>
      </c>
      <c r="C6" s="37"/>
      <c r="D6" s="38"/>
    </row>
    <row r="7" spans="1:4" ht="12.75">
      <c r="A7" s="36" t="s">
        <v>144</v>
      </c>
      <c r="B7" s="76">
        <v>13</v>
      </c>
      <c r="C7" s="37"/>
      <c r="D7" s="38"/>
    </row>
    <row r="8" spans="1:4" ht="12.75">
      <c r="A8" s="36" t="s">
        <v>145</v>
      </c>
      <c r="B8" s="75">
        <f>B25</f>
        <v>0.9999999999999999</v>
      </c>
      <c r="C8" s="37"/>
      <c r="D8" s="38"/>
    </row>
    <row r="9" spans="1:4" ht="12.75">
      <c r="A9" s="36" t="s">
        <v>146</v>
      </c>
      <c r="B9" s="75">
        <f>C25</f>
        <v>0.93</v>
      </c>
      <c r="C9" s="37"/>
      <c r="D9" s="38"/>
    </row>
    <row r="10" spans="1:4" ht="12.75">
      <c r="A10" s="36" t="s">
        <v>147</v>
      </c>
      <c r="B10" s="76">
        <f>B7*(1-B8)</f>
        <v>1.4432899320127035E-15</v>
      </c>
      <c r="C10" s="37"/>
      <c r="D10" s="38"/>
    </row>
    <row r="11" spans="1:4" ht="12.75">
      <c r="A11" s="36" t="s">
        <v>148</v>
      </c>
      <c r="B11" s="76">
        <f>B7-B10</f>
        <v>12.999999999999998</v>
      </c>
      <c r="C11" s="37"/>
      <c r="D11" s="38"/>
    </row>
    <row r="12" spans="1:4" ht="12.75">
      <c r="A12" s="36" t="s">
        <v>149</v>
      </c>
      <c r="B12" s="69">
        <f>B3*B4*B9</f>
        <v>55800</v>
      </c>
      <c r="C12" s="37"/>
      <c r="D12" s="38"/>
    </row>
    <row r="13" spans="1:4" ht="12.75">
      <c r="A13" s="36"/>
      <c r="B13" s="69"/>
      <c r="C13" s="37"/>
      <c r="D13" s="38"/>
    </row>
    <row r="14" spans="1:4" ht="38.25">
      <c r="A14" s="88" t="s">
        <v>150</v>
      </c>
      <c r="B14" s="89" t="str">
        <f>A8</f>
        <v>Lamp Rebate (%)</v>
      </c>
      <c r="C14" s="90" t="s">
        <v>151</v>
      </c>
      <c r="D14" s="57"/>
    </row>
    <row r="15" spans="1:4" ht="12.75">
      <c r="A15" s="82"/>
      <c r="B15" s="84">
        <v>0</v>
      </c>
      <c r="C15" s="85">
        <v>0</v>
      </c>
      <c r="D15" s="38"/>
    </row>
    <row r="16" spans="1:4" ht="12.75">
      <c r="A16" s="36"/>
      <c r="B16" s="83">
        <f aca="true" t="shared" si="0" ref="B16:B25">B15+0.1</f>
        <v>0.1</v>
      </c>
      <c r="C16" s="85">
        <v>0.05</v>
      </c>
      <c r="D16" s="38"/>
    </row>
    <row r="17" spans="1:4" ht="12.75">
      <c r="A17" s="36"/>
      <c r="B17" s="83">
        <f t="shared" si="0"/>
        <v>0.2</v>
      </c>
      <c r="C17" s="85">
        <v>0.13</v>
      </c>
      <c r="D17" s="38"/>
    </row>
    <row r="18" spans="1:4" ht="12.75">
      <c r="A18" s="36"/>
      <c r="B18" s="83">
        <f t="shared" si="0"/>
        <v>0.30000000000000004</v>
      </c>
      <c r="C18" s="85">
        <v>0.23</v>
      </c>
      <c r="D18" s="38"/>
    </row>
    <row r="19" spans="1:4" ht="12.75">
      <c r="A19" s="36"/>
      <c r="B19" s="83">
        <f t="shared" si="0"/>
        <v>0.4</v>
      </c>
      <c r="C19" s="85">
        <v>0.35</v>
      </c>
      <c r="D19" s="38"/>
    </row>
    <row r="20" spans="1:4" ht="12.75">
      <c r="A20" s="36"/>
      <c r="B20" s="83">
        <f t="shared" si="0"/>
        <v>0.5</v>
      </c>
      <c r="C20" s="85">
        <v>0.48</v>
      </c>
      <c r="D20" s="38"/>
    </row>
    <row r="21" spans="1:4" ht="12.75">
      <c r="A21" s="36"/>
      <c r="B21" s="83">
        <f t="shared" si="0"/>
        <v>0.6</v>
      </c>
      <c r="C21" s="85">
        <v>0.61</v>
      </c>
      <c r="D21" s="38"/>
    </row>
    <row r="22" spans="1:4" ht="12.75">
      <c r="A22" s="36"/>
      <c r="B22" s="83">
        <f t="shared" si="0"/>
        <v>0.7</v>
      </c>
      <c r="C22" s="85">
        <v>0.73</v>
      </c>
      <c r="D22" s="38"/>
    </row>
    <row r="23" spans="1:4" ht="12.75">
      <c r="A23" s="36"/>
      <c r="B23" s="83">
        <f t="shared" si="0"/>
        <v>0.7999999999999999</v>
      </c>
      <c r="C23" s="85">
        <v>0.81</v>
      </c>
      <c r="D23" s="38"/>
    </row>
    <row r="24" spans="1:4" ht="12.75">
      <c r="A24" s="36"/>
      <c r="B24" s="83">
        <f t="shared" si="0"/>
        <v>0.8999999999999999</v>
      </c>
      <c r="C24" s="85">
        <v>0.88</v>
      </c>
      <c r="D24" s="38"/>
    </row>
    <row r="25" spans="1:4" ht="12.75">
      <c r="A25" s="36"/>
      <c r="B25" s="83">
        <f t="shared" si="0"/>
        <v>0.9999999999999999</v>
      </c>
      <c r="C25" s="85">
        <v>0.93</v>
      </c>
      <c r="D25" s="38"/>
    </row>
    <row r="26" spans="1:4" ht="12.75">
      <c r="A26" s="36"/>
      <c r="B26" s="83"/>
      <c r="C26" s="85"/>
      <c r="D26" s="38"/>
    </row>
    <row r="27" spans="1:4" ht="12.75">
      <c r="A27" s="55"/>
      <c r="B27" s="86" t="s">
        <v>152</v>
      </c>
      <c r="C27" s="86" t="s">
        <v>153</v>
      </c>
      <c r="D27" s="87" t="s">
        <v>129</v>
      </c>
    </row>
    <row r="28" spans="1:4" ht="12.75">
      <c r="A28" s="39" t="s">
        <v>154</v>
      </c>
      <c r="B28" s="77"/>
      <c r="C28" s="77"/>
      <c r="D28" s="78">
        <f>SUM(C28:C35)</f>
        <v>85000</v>
      </c>
    </row>
    <row r="29" spans="1:4" ht="12.75">
      <c r="A29" s="36" t="s">
        <v>155</v>
      </c>
      <c r="B29" s="77"/>
      <c r="C29" s="77">
        <v>5000</v>
      </c>
      <c r="D29" s="79"/>
    </row>
    <row r="30" spans="1:4" ht="12.75">
      <c r="A30" s="36" t="s">
        <v>156</v>
      </c>
      <c r="B30" s="77"/>
      <c r="C30" s="77">
        <f>B31+B32</f>
        <v>60000</v>
      </c>
      <c r="D30" s="79"/>
    </row>
    <row r="31" spans="1:4" ht="12.75">
      <c r="A31" s="80" t="s">
        <v>157</v>
      </c>
      <c r="B31" s="77">
        <v>10000</v>
      </c>
      <c r="C31" s="77"/>
      <c r="D31" s="79"/>
    </row>
    <row r="32" spans="1:4" ht="12.75">
      <c r="A32" s="80" t="s">
        <v>158</v>
      </c>
      <c r="B32" s="77">
        <v>50000</v>
      </c>
      <c r="C32" s="77"/>
      <c r="D32" s="79"/>
    </row>
    <row r="33" spans="1:4" ht="12.75">
      <c r="A33" s="36" t="s">
        <v>159</v>
      </c>
      <c r="B33" s="77"/>
      <c r="C33" s="77">
        <v>15000</v>
      </c>
      <c r="D33" s="79"/>
    </row>
    <row r="34" spans="1:4" ht="12.75">
      <c r="A34" s="36" t="s">
        <v>160</v>
      </c>
      <c r="B34" s="77"/>
      <c r="C34" s="77">
        <v>3000</v>
      </c>
      <c r="D34" s="79"/>
    </row>
    <row r="35" spans="1:4" ht="12.75">
      <c r="A35" s="36" t="s">
        <v>161</v>
      </c>
      <c r="B35" s="77"/>
      <c r="C35" s="77">
        <v>2000</v>
      </c>
      <c r="D35" s="79"/>
    </row>
    <row r="36" spans="1:4" ht="12.75">
      <c r="A36" s="36"/>
      <c r="B36" s="77"/>
      <c r="C36" s="77"/>
      <c r="D36" s="79"/>
    </row>
    <row r="37" spans="1:4" ht="12.75">
      <c r="A37" s="39" t="s">
        <v>162</v>
      </c>
      <c r="B37" s="77"/>
      <c r="C37" s="77"/>
      <c r="D37" s="78">
        <f>SUM(D38)</f>
        <v>725399.9999999999</v>
      </c>
    </row>
    <row r="38" spans="1:4" ht="12.75">
      <c r="A38" s="36" t="s">
        <v>163</v>
      </c>
      <c r="B38" s="77"/>
      <c r="C38" s="77"/>
      <c r="D38" s="79">
        <f>B12*B11</f>
        <v>725399.9999999999</v>
      </c>
    </row>
    <row r="39" spans="1:4" ht="12.75">
      <c r="A39" s="36"/>
      <c r="B39" s="77"/>
      <c r="C39" s="77"/>
      <c r="D39" s="79"/>
    </row>
    <row r="40" spans="1:4" ht="12.75">
      <c r="A40" s="93" t="s">
        <v>164</v>
      </c>
      <c r="B40" s="94"/>
      <c r="C40" s="94"/>
      <c r="D40" s="95">
        <f>D37+D28</f>
        <v>810399.9999999999</v>
      </c>
    </row>
    <row r="41" spans="1:4" ht="12.75">
      <c r="A41" s="36" t="s">
        <v>165</v>
      </c>
      <c r="B41" s="75">
        <v>0.1</v>
      </c>
      <c r="C41" s="37"/>
      <c r="D41" s="38"/>
    </row>
    <row r="42" spans="1:4" ht="12.75">
      <c r="A42" s="36" t="s">
        <v>166</v>
      </c>
      <c r="B42" s="37">
        <f>B41/(1-(1+B41)^(-B6))</f>
        <v>0.26379748079474524</v>
      </c>
      <c r="C42" s="37"/>
      <c r="D42" s="38"/>
    </row>
    <row r="43" spans="1:4" ht="12.75">
      <c r="A43" s="36" t="s">
        <v>167</v>
      </c>
      <c r="B43" s="98">
        <f>D40*B42</f>
        <v>213781.4784360615</v>
      </c>
      <c r="C43" s="99" t="s">
        <v>168</v>
      </c>
      <c r="D43" s="38"/>
    </row>
    <row r="44" spans="1:4" ht="12.75">
      <c r="A44" s="39" t="s">
        <v>169</v>
      </c>
      <c r="B44" s="96">
        <f>B5*B12</f>
        <v>6919200</v>
      </c>
      <c r="C44" s="97" t="s">
        <v>42</v>
      </c>
      <c r="D44" s="38"/>
    </row>
    <row r="45" spans="1:4" ht="13.5" thickBot="1">
      <c r="A45" s="81" t="s">
        <v>170</v>
      </c>
      <c r="B45" s="91">
        <f>B43/B44</f>
        <v>0.030896849120716486</v>
      </c>
      <c r="C45" s="92" t="s">
        <v>171</v>
      </c>
      <c r="D45" s="49"/>
    </row>
    <row r="48" spans="1:5" ht="51">
      <c r="A48" s="23" t="s">
        <v>172</v>
      </c>
      <c r="B48" s="23" t="s">
        <v>164</v>
      </c>
      <c r="C48" s="23" t="s">
        <v>173</v>
      </c>
      <c r="D48" s="23" t="s">
        <v>174</v>
      </c>
      <c r="E48" s="23"/>
    </row>
    <row r="49" spans="1:4" ht="12.75">
      <c r="A49" s="100">
        <f aca="true" t="shared" si="1" ref="A49:A59">B15</f>
        <v>0</v>
      </c>
      <c r="B49" s="25">
        <v>85000</v>
      </c>
      <c r="C49" s="24">
        <v>0</v>
      </c>
      <c r="D49" s="101" t="s">
        <v>175</v>
      </c>
    </row>
    <row r="50" spans="1:4" ht="12.75">
      <c r="A50" s="100">
        <f t="shared" si="1"/>
        <v>0.1</v>
      </c>
      <c r="B50" s="25">
        <v>88900</v>
      </c>
      <c r="C50" s="24">
        <v>372000</v>
      </c>
      <c r="D50" s="102">
        <v>0.063041924845841</v>
      </c>
    </row>
    <row r="51" spans="1:4" ht="12.75">
      <c r="A51" s="100">
        <f t="shared" si="1"/>
        <v>0.2</v>
      </c>
      <c r="B51" s="25">
        <v>105280</v>
      </c>
      <c r="C51" s="24">
        <v>967200</v>
      </c>
      <c r="D51" s="102">
        <v>0.029</v>
      </c>
    </row>
    <row r="52" spans="1:4" ht="12.75">
      <c r="A52" s="100">
        <f t="shared" si="1"/>
        <v>0.30000000000000004</v>
      </c>
      <c r="B52" s="25">
        <v>138820</v>
      </c>
      <c r="C52" s="24">
        <v>1711200</v>
      </c>
      <c r="D52" s="102">
        <v>0.021</v>
      </c>
    </row>
    <row r="53" spans="1:4" ht="12.75">
      <c r="A53" s="100">
        <f t="shared" si="1"/>
        <v>0.4</v>
      </c>
      <c r="B53" s="25">
        <v>194200</v>
      </c>
      <c r="C53" s="24">
        <v>2604000</v>
      </c>
      <c r="D53" s="102">
        <v>0.02</v>
      </c>
    </row>
    <row r="54" spans="1:4" ht="12.75">
      <c r="A54" s="100">
        <f t="shared" si="1"/>
        <v>0.5</v>
      </c>
      <c r="B54" s="25">
        <v>272200</v>
      </c>
      <c r="C54" s="24">
        <v>3571200</v>
      </c>
      <c r="D54" s="102">
        <v>0.02</v>
      </c>
    </row>
    <row r="55" spans="1:4" ht="12.75">
      <c r="A55" s="100">
        <f t="shared" si="1"/>
        <v>0.6</v>
      </c>
      <c r="B55" s="25">
        <v>370480</v>
      </c>
      <c r="C55" s="24">
        <v>4538400</v>
      </c>
      <c r="D55" s="102">
        <v>0.022</v>
      </c>
    </row>
    <row r="56" spans="1:4" ht="12.75">
      <c r="A56" s="100">
        <f t="shared" si="1"/>
        <v>0.7</v>
      </c>
      <c r="B56" s="25">
        <v>483580</v>
      </c>
      <c r="C56" s="24">
        <v>5431200</v>
      </c>
      <c r="D56" s="102">
        <v>0.023</v>
      </c>
    </row>
    <row r="57" spans="1:4" ht="12.75">
      <c r="A57" s="100">
        <f t="shared" si="1"/>
        <v>0.7999999999999999</v>
      </c>
      <c r="B57" s="25">
        <v>590440</v>
      </c>
      <c r="C57" s="24">
        <v>6026400</v>
      </c>
      <c r="D57" s="102">
        <v>0.026</v>
      </c>
    </row>
    <row r="58" spans="1:4" ht="12.75">
      <c r="A58" s="100">
        <f t="shared" si="1"/>
        <v>0.8999999999999999</v>
      </c>
      <c r="B58" s="25">
        <v>702760</v>
      </c>
      <c r="C58" s="24">
        <v>6547200</v>
      </c>
      <c r="D58" s="102">
        <v>0.028</v>
      </c>
    </row>
    <row r="59" spans="1:4" ht="12.75">
      <c r="A59" s="100">
        <f t="shared" si="1"/>
        <v>0.9999999999999999</v>
      </c>
      <c r="B59" s="25">
        <v>810400</v>
      </c>
      <c r="C59" s="24">
        <v>6919200</v>
      </c>
      <c r="D59" s="102">
        <v>0.031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9.57421875" style="0" customWidth="1"/>
    <col min="3" max="3" width="11.28125" style="0" customWidth="1"/>
    <col min="4" max="5" width="9.421875" style="0" customWidth="1"/>
  </cols>
  <sheetData>
    <row r="1" spans="1:5" ht="12.75">
      <c r="A1" s="44" t="s">
        <v>176</v>
      </c>
      <c r="B1" s="103" t="s">
        <v>177</v>
      </c>
      <c r="C1" s="103" t="s">
        <v>178</v>
      </c>
      <c r="D1" s="104" t="s">
        <v>179</v>
      </c>
      <c r="E1" s="105" t="s">
        <v>179</v>
      </c>
    </row>
    <row r="2" spans="1:5" ht="12.75">
      <c r="A2" s="36" t="s">
        <v>180</v>
      </c>
      <c r="B2" s="50" t="s">
        <v>38</v>
      </c>
      <c r="C2" s="50" t="s">
        <v>181</v>
      </c>
      <c r="D2" s="106" t="s">
        <v>182</v>
      </c>
      <c r="E2" s="107" t="s">
        <v>183</v>
      </c>
    </row>
    <row r="3" spans="1:5" ht="12.75">
      <c r="A3" s="36"/>
      <c r="B3" s="50"/>
      <c r="C3" s="50"/>
      <c r="D3" s="106" t="s">
        <v>184</v>
      </c>
      <c r="E3" s="107" t="s">
        <v>184</v>
      </c>
    </row>
    <row r="4" spans="1:5" ht="12.75">
      <c r="A4" s="36"/>
      <c r="B4" s="37"/>
      <c r="C4" s="37"/>
      <c r="D4" s="97"/>
      <c r="E4" s="108"/>
    </row>
    <row r="5" spans="1:5" ht="12.75">
      <c r="A5" s="36" t="s">
        <v>185</v>
      </c>
      <c r="B5" s="37">
        <v>0.02</v>
      </c>
      <c r="C5" s="37">
        <v>0</v>
      </c>
      <c r="D5" s="109">
        <f>($B5-$B$10)*1000000/($C$10-$C5)</f>
        <v>-6600</v>
      </c>
      <c r="E5" s="110">
        <f>($B5-$B$7)*1000000/($C$7-$C5)</f>
        <v>-1999.9999999999995</v>
      </c>
    </row>
    <row r="6" spans="1:5" ht="12.75">
      <c r="A6" s="36" t="s">
        <v>186</v>
      </c>
      <c r="B6" s="37">
        <v>0.04</v>
      </c>
      <c r="C6" s="37">
        <v>0</v>
      </c>
      <c r="D6" s="109">
        <f>($B6-$B$10)*1000000/($C$10-$C6)</f>
        <v>-2599.9999999999995</v>
      </c>
      <c r="E6" s="110">
        <f>($B6-$B$7)*1000000/($C$7-$C6)</f>
        <v>2000.0000000000005</v>
      </c>
    </row>
    <row r="7" spans="1:5" ht="12.75">
      <c r="A7" s="36" t="s">
        <v>187</v>
      </c>
      <c r="B7" s="37">
        <v>0.03</v>
      </c>
      <c r="C7" s="37">
        <v>5</v>
      </c>
      <c r="D7" s="109"/>
      <c r="E7" s="110"/>
    </row>
    <row r="8" spans="1:5" ht="12.75">
      <c r="A8" s="36" t="s">
        <v>188</v>
      </c>
      <c r="B8" s="37">
        <v>0.048</v>
      </c>
      <c r="C8" s="37">
        <v>0.5</v>
      </c>
      <c r="D8" s="109">
        <f>($B8-$B$10)*1000000/($C$10-$C8)</f>
        <v>-1111.1111111111104</v>
      </c>
      <c r="E8" s="110">
        <f>($B8-$B$7)*1000000/($C$7-$C8)</f>
        <v>4000.000000000001</v>
      </c>
    </row>
    <row r="9" spans="1:5" ht="12.75">
      <c r="A9" s="36" t="s">
        <v>189</v>
      </c>
      <c r="B9" s="37">
        <v>0.055</v>
      </c>
      <c r="C9" s="37">
        <v>0</v>
      </c>
      <c r="D9" s="109">
        <f>($B9-$B$10)*1000000/($C$10-$C9)</f>
        <v>400.00000000000034</v>
      </c>
      <c r="E9" s="110">
        <f>($B9-$B$7)*1000000/($C$7-$C9)</f>
        <v>5000</v>
      </c>
    </row>
    <row r="10" spans="1:5" ht="12.75">
      <c r="A10" s="36" t="s">
        <v>182</v>
      </c>
      <c r="B10" s="37">
        <v>0.053</v>
      </c>
      <c r="C10" s="37">
        <v>5</v>
      </c>
      <c r="D10" s="109"/>
      <c r="E10" s="110"/>
    </row>
    <row r="11" spans="1:5" ht="12.75">
      <c r="A11" s="36" t="s">
        <v>190</v>
      </c>
      <c r="B11" s="37">
        <v>0.067</v>
      </c>
      <c r="C11" s="37">
        <v>0.5</v>
      </c>
      <c r="D11" s="109">
        <f>($B11-$B$10)*1000000/($C$10-$C11)</f>
        <v>3111.111111111112</v>
      </c>
      <c r="E11" s="110">
        <f>($B11-$B$7)*1000000/($C$7-$C11)</f>
        <v>8222.222222222224</v>
      </c>
    </row>
    <row r="12" spans="1:5" ht="12.75">
      <c r="A12" s="36" t="s">
        <v>191</v>
      </c>
      <c r="B12" s="37">
        <v>0.028</v>
      </c>
      <c r="C12" s="37">
        <v>0</v>
      </c>
      <c r="D12" s="109">
        <f>($B12-$B$10)*1000000/($C$10-$C12)</f>
        <v>-4999.999999999999</v>
      </c>
      <c r="E12" s="110">
        <f>($B12-$B$7)*1000000/($C$7-$C12)</f>
        <v>-399.99999999999966</v>
      </c>
    </row>
    <row r="13" spans="1:5" ht="12.75">
      <c r="A13" s="36" t="s">
        <v>192</v>
      </c>
      <c r="B13" s="37">
        <v>0.056</v>
      </c>
      <c r="C13" s="37">
        <v>0</v>
      </c>
      <c r="D13" s="109">
        <f>($B13-$B$10)*1000000/($C$10-$C13)</f>
        <v>600.0000000000006</v>
      </c>
      <c r="E13" s="110">
        <f>($B13-$B$7)*1000000/($C$7-$C13)</f>
        <v>5200.000000000001</v>
      </c>
    </row>
    <row r="14" spans="1:5" ht="12.75">
      <c r="A14" s="36" t="s">
        <v>193</v>
      </c>
      <c r="B14" s="37">
        <v>0.067</v>
      </c>
      <c r="C14" s="37">
        <v>0</v>
      </c>
      <c r="D14" s="109">
        <f>($B14-$B$10)*1000000/($C$10-$C14)</f>
        <v>2800.000000000001</v>
      </c>
      <c r="E14" s="110">
        <f>($B14-$B$7)*1000000/($C$7-$C14)</f>
        <v>7400.000000000002</v>
      </c>
    </row>
    <row r="15" spans="1:5" ht="13.5" thickBot="1">
      <c r="A15" s="47" t="s">
        <v>194</v>
      </c>
      <c r="B15" s="48">
        <v>0.095</v>
      </c>
      <c r="C15" s="48">
        <v>0</v>
      </c>
      <c r="D15" s="111">
        <f>($B15-$B$10)*1000000/($C$10-$C15)</f>
        <v>8400</v>
      </c>
      <c r="E15" s="112">
        <f>($B15-$B$7)*1000000/($C$7-$C15)</f>
        <v>13000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1.421875" style="0" customWidth="1"/>
    <col min="2" max="2" width="7.8515625" style="0" hidden="1" customWidth="1" outlineLevel="1"/>
    <col min="3" max="3" width="7.7109375" style="0" hidden="1" customWidth="1" outlineLevel="1"/>
    <col min="4" max="4" width="6.28125" style="0" hidden="1" customWidth="1" outlineLevel="1"/>
    <col min="5" max="5" width="7.421875" style="0" customWidth="1" collapsed="1"/>
    <col min="6" max="6" width="8.7109375" style="0" hidden="1" customWidth="1" outlineLevel="1"/>
    <col min="7" max="8" width="9.140625" style="0" hidden="1" customWidth="1" outlineLevel="1"/>
    <col min="9" max="9" width="8.00390625" style="0" hidden="1" customWidth="1" outlineLevel="1"/>
    <col min="10" max="10" width="7.7109375" style="0" customWidth="1" collapsed="1"/>
    <col min="11" max="11" width="8.57421875" style="0" hidden="1" customWidth="1" outlineLevel="1"/>
    <col min="12" max="12" width="8.00390625" style="0" customWidth="1" collapsed="1"/>
    <col min="13" max="13" width="7.7109375" style="0" customWidth="1"/>
    <col min="14" max="15" width="7.8515625" style="0" customWidth="1"/>
    <col min="16" max="16" width="8.140625" style="0" customWidth="1"/>
    <col min="17" max="17" width="7.8515625" style="0" customWidth="1"/>
    <col min="18" max="18" width="8.00390625" style="0" customWidth="1"/>
  </cols>
  <sheetData>
    <row r="1" spans="1:18" ht="12.75">
      <c r="A1" s="130"/>
      <c r="E1" s="117" t="s">
        <v>195</v>
      </c>
      <c r="F1" s="118"/>
      <c r="G1" s="118"/>
      <c r="H1" s="118"/>
      <c r="I1" s="118"/>
      <c r="J1" s="118"/>
      <c r="K1" s="118"/>
      <c r="L1" s="119"/>
      <c r="M1" s="117" t="s">
        <v>196</v>
      </c>
      <c r="N1" s="118"/>
      <c r="O1" s="119"/>
      <c r="P1" s="117" t="s">
        <v>197</v>
      </c>
      <c r="Q1" s="118"/>
      <c r="R1" s="119"/>
    </row>
    <row r="2" spans="1:18" ht="12.75">
      <c r="A2" s="131" t="s">
        <v>176</v>
      </c>
      <c r="B2" s="22" t="s">
        <v>198</v>
      </c>
      <c r="C2" s="22" t="s">
        <v>198</v>
      </c>
      <c r="D2" s="22" t="s">
        <v>199</v>
      </c>
      <c r="E2" s="29" t="s">
        <v>200</v>
      </c>
      <c r="F2" s="50" t="s">
        <v>201</v>
      </c>
      <c r="G2" s="50" t="s">
        <v>178</v>
      </c>
      <c r="H2" s="50" t="s">
        <v>178</v>
      </c>
      <c r="I2" s="50" t="s">
        <v>201</v>
      </c>
      <c r="J2" s="120" t="s">
        <v>201</v>
      </c>
      <c r="K2" s="120" t="s">
        <v>202</v>
      </c>
      <c r="L2" s="121" t="s">
        <v>203</v>
      </c>
      <c r="M2" s="29" t="s">
        <v>200</v>
      </c>
      <c r="N2" s="120" t="s">
        <v>201</v>
      </c>
      <c r="O2" s="121" t="s">
        <v>203</v>
      </c>
      <c r="P2" s="29" t="s">
        <v>200</v>
      </c>
      <c r="Q2" s="120" t="s">
        <v>201</v>
      </c>
      <c r="R2" s="121" t="s">
        <v>203</v>
      </c>
    </row>
    <row r="3" spans="1:18" ht="25.5">
      <c r="A3" s="132" t="s">
        <v>180</v>
      </c>
      <c r="B3" s="113" t="s">
        <v>204</v>
      </c>
      <c r="C3" s="113" t="s">
        <v>205</v>
      </c>
      <c r="D3" s="113" t="s">
        <v>206</v>
      </c>
      <c r="E3" s="114" t="s">
        <v>207</v>
      </c>
      <c r="F3" s="115" t="s">
        <v>208</v>
      </c>
      <c r="G3" s="115" t="s">
        <v>209</v>
      </c>
      <c r="H3" s="115" t="s">
        <v>210</v>
      </c>
      <c r="I3" s="115" t="s">
        <v>208</v>
      </c>
      <c r="J3" s="122" t="s">
        <v>211</v>
      </c>
      <c r="K3" s="122" t="s">
        <v>208</v>
      </c>
      <c r="L3" s="123" t="s">
        <v>212</v>
      </c>
      <c r="M3" s="114" t="s">
        <v>207</v>
      </c>
      <c r="N3" s="122" t="s">
        <v>211</v>
      </c>
      <c r="O3" s="123" t="s">
        <v>212</v>
      </c>
      <c r="P3" s="114" t="s">
        <v>207</v>
      </c>
      <c r="Q3" s="122" t="s">
        <v>211</v>
      </c>
      <c r="R3" s="123" t="s">
        <v>212</v>
      </c>
    </row>
    <row r="4" spans="1:18" ht="12.75">
      <c r="A4" s="134"/>
      <c r="B4" s="22"/>
      <c r="C4" s="22"/>
      <c r="E4" s="126" t="s">
        <v>213</v>
      </c>
      <c r="F4" s="129" t="s">
        <v>214</v>
      </c>
      <c r="G4" s="129"/>
      <c r="H4" s="129"/>
      <c r="I4" s="129" t="s">
        <v>213</v>
      </c>
      <c r="J4" s="127" t="s">
        <v>213</v>
      </c>
      <c r="K4" s="127" t="s">
        <v>214</v>
      </c>
      <c r="L4" s="128" t="s">
        <v>213</v>
      </c>
      <c r="M4" s="126" t="s">
        <v>213</v>
      </c>
      <c r="N4" s="127" t="s">
        <v>213</v>
      </c>
      <c r="O4" s="128" t="s">
        <v>213</v>
      </c>
      <c r="P4" s="126" t="s">
        <v>213</v>
      </c>
      <c r="Q4" s="127" t="s">
        <v>213</v>
      </c>
      <c r="R4" s="128" t="s">
        <v>213</v>
      </c>
    </row>
    <row r="5" spans="1:18" ht="12.75">
      <c r="A5" s="135" t="s">
        <v>185</v>
      </c>
      <c r="B5" s="136">
        <v>1200</v>
      </c>
      <c r="C5" s="136">
        <v>0.5</v>
      </c>
      <c r="D5" s="136">
        <v>5256</v>
      </c>
      <c r="E5" s="137">
        <v>0.02</v>
      </c>
      <c r="F5" s="136">
        <v>0</v>
      </c>
      <c r="G5" s="136">
        <v>0</v>
      </c>
      <c r="H5" s="136">
        <v>0</v>
      </c>
      <c r="I5" s="136">
        <f>$F5/8760/$C5</f>
        <v>0</v>
      </c>
      <c r="J5" s="138">
        <f>E5+I5</f>
        <v>0.02</v>
      </c>
      <c r="K5" s="139">
        <f>0.06/(1-(1+0.06)^(-13))*350000000/(B5*1000)</f>
        <v>32.946697390838885</v>
      </c>
      <c r="L5" s="140">
        <f>$K5/8760/$C5+J5</f>
        <v>0.027522077029871892</v>
      </c>
      <c r="M5" s="137">
        <f>G5*600/1000000+$E5</f>
        <v>0.02</v>
      </c>
      <c r="N5" s="138">
        <f>M5+$I5</f>
        <v>0.02</v>
      </c>
      <c r="O5" s="140">
        <f>$K5/8760/$C5+N5</f>
        <v>0.027522077029871892</v>
      </c>
      <c r="P5" s="137">
        <f>H5*600/1000000+$E5</f>
        <v>0.02</v>
      </c>
      <c r="Q5" s="138">
        <f>P5+$I5</f>
        <v>0.02</v>
      </c>
      <c r="R5" s="140">
        <f>$K5/8760/$C5+Q5</f>
        <v>0.027522077029871892</v>
      </c>
    </row>
    <row r="6" spans="1:18" ht="25.5">
      <c r="A6" s="135" t="s">
        <v>186</v>
      </c>
      <c r="B6" s="136">
        <v>600</v>
      </c>
      <c r="C6" s="136">
        <v>0.5</v>
      </c>
      <c r="D6" s="136">
        <v>2628</v>
      </c>
      <c r="E6" s="137">
        <v>0.04</v>
      </c>
      <c r="F6" s="136">
        <v>0</v>
      </c>
      <c r="G6" s="136">
        <v>0</v>
      </c>
      <c r="H6" s="136">
        <v>6</v>
      </c>
      <c r="I6" s="136">
        <f>$F6/8760/$C6</f>
        <v>0</v>
      </c>
      <c r="J6" s="138">
        <f>E6+I6</f>
        <v>0.04</v>
      </c>
      <c r="K6" s="139">
        <f>0.06/(1-(1+0.06)^(-12))*350000000/(B6*1000)</f>
        <v>69.5782671387204</v>
      </c>
      <c r="L6" s="140">
        <f aca="true" t="shared" si="0" ref="L6:L15">$K6/8760/$C6+J6</f>
        <v>0.05588544911842932</v>
      </c>
      <c r="M6" s="137">
        <f aca="true" t="shared" si="1" ref="M6:M15">G6*600/1000000+$E6</f>
        <v>0.04</v>
      </c>
      <c r="N6" s="138">
        <f aca="true" t="shared" si="2" ref="N6:N15">M6+$I6</f>
        <v>0.04</v>
      </c>
      <c r="O6" s="140">
        <f aca="true" t="shared" si="3" ref="O6:O15">$K6/8760/$C6+N6</f>
        <v>0.05588544911842932</v>
      </c>
      <c r="P6" s="137">
        <f aca="true" t="shared" si="4" ref="P6:P15">H6*600/1000000+$E6</f>
        <v>0.0436</v>
      </c>
      <c r="Q6" s="138">
        <f aca="true" t="shared" si="5" ref="Q6:Q15">P6+$I6</f>
        <v>0.0436</v>
      </c>
      <c r="R6" s="140">
        <f aca="true" t="shared" si="6" ref="R6:R15">$K6/8760/$C6+Q6</f>
        <v>0.05948544911842932</v>
      </c>
    </row>
    <row r="7" spans="1:18" ht="25.5">
      <c r="A7" s="135" t="s">
        <v>187</v>
      </c>
      <c r="B7" s="136">
        <v>420</v>
      </c>
      <c r="C7" s="136">
        <v>0.75</v>
      </c>
      <c r="D7" s="136">
        <v>2759</v>
      </c>
      <c r="E7" s="137">
        <v>0.03</v>
      </c>
      <c r="F7" s="136">
        <v>0</v>
      </c>
      <c r="G7" s="136">
        <v>5</v>
      </c>
      <c r="H7" s="136">
        <v>11</v>
      </c>
      <c r="I7" s="136">
        <f>$F7/8760/$C7</f>
        <v>0</v>
      </c>
      <c r="J7" s="138">
        <f>E7+I7</f>
        <v>0.03</v>
      </c>
      <c r="K7" s="139">
        <f>0.06/(1-(1+0.06)^(-17))*350000000/(B7*1000)</f>
        <v>79.53733685962487</v>
      </c>
      <c r="L7" s="140">
        <f t="shared" si="0"/>
        <v>0.04210613955245432</v>
      </c>
      <c r="M7" s="137">
        <f t="shared" si="1"/>
        <v>0.033</v>
      </c>
      <c r="N7" s="138">
        <f t="shared" si="2"/>
        <v>0.033</v>
      </c>
      <c r="O7" s="140">
        <f t="shared" si="3"/>
        <v>0.04510613955245432</v>
      </c>
      <c r="P7" s="137">
        <f t="shared" si="4"/>
        <v>0.0366</v>
      </c>
      <c r="Q7" s="138">
        <f t="shared" si="5"/>
        <v>0.0366</v>
      </c>
      <c r="R7" s="140">
        <f t="shared" si="6"/>
        <v>0.04870613955245432</v>
      </c>
    </row>
    <row r="8" spans="1:18" ht="12.75">
      <c r="A8" s="135" t="s">
        <v>188</v>
      </c>
      <c r="B8" s="136">
        <v>400</v>
      </c>
      <c r="C8" s="136">
        <v>0.75</v>
      </c>
      <c r="D8" s="136">
        <v>2628</v>
      </c>
      <c r="E8" s="137">
        <v>0.04</v>
      </c>
      <c r="F8" s="136">
        <v>50</v>
      </c>
      <c r="G8" s="136">
        <v>0.5</v>
      </c>
      <c r="H8" s="136">
        <v>12</v>
      </c>
      <c r="I8" s="136">
        <f>$F8/8760/$C8</f>
        <v>0.0076103500761035</v>
      </c>
      <c r="J8" s="138">
        <f>E8+I8</f>
        <v>0.0476103500761035</v>
      </c>
      <c r="K8" s="141">
        <v>0</v>
      </c>
      <c r="L8" s="140">
        <f t="shared" si="0"/>
        <v>0.0476103500761035</v>
      </c>
      <c r="M8" s="137">
        <f t="shared" si="1"/>
        <v>0.0403</v>
      </c>
      <c r="N8" s="138">
        <f t="shared" si="2"/>
        <v>0.0479103500761035</v>
      </c>
      <c r="O8" s="140">
        <f t="shared" si="3"/>
        <v>0.0479103500761035</v>
      </c>
      <c r="P8" s="137">
        <f t="shared" si="4"/>
        <v>0.0472</v>
      </c>
      <c r="Q8" s="138">
        <f t="shared" si="5"/>
        <v>0.0548103500761035</v>
      </c>
      <c r="R8" s="140">
        <f t="shared" si="6"/>
        <v>0.0548103500761035</v>
      </c>
    </row>
    <row r="9" spans="1:18" ht="12.75">
      <c r="A9" s="135" t="s">
        <v>189</v>
      </c>
      <c r="B9" s="136">
        <v>200</v>
      </c>
      <c r="C9" s="136">
        <v>0.75</v>
      </c>
      <c r="D9" s="136">
        <v>1314</v>
      </c>
      <c r="E9" s="137">
        <v>0.035</v>
      </c>
      <c r="F9" s="136">
        <v>130</v>
      </c>
      <c r="G9" s="136">
        <v>0</v>
      </c>
      <c r="H9" s="136">
        <v>5</v>
      </c>
      <c r="I9" s="136">
        <f aca="true" t="shared" si="7" ref="I9:I15">$F9/8760/$C9</f>
        <v>0.0197869101978691</v>
      </c>
      <c r="J9" s="138">
        <f aca="true" t="shared" si="8" ref="J9:J15">E9+I9</f>
        <v>0.054786910197869104</v>
      </c>
      <c r="K9" s="141">
        <v>0</v>
      </c>
      <c r="L9" s="140">
        <f t="shared" si="0"/>
        <v>0.054786910197869104</v>
      </c>
      <c r="M9" s="137">
        <f t="shared" si="1"/>
        <v>0.035</v>
      </c>
      <c r="N9" s="138">
        <f t="shared" si="2"/>
        <v>0.054786910197869104</v>
      </c>
      <c r="O9" s="140">
        <f t="shared" si="3"/>
        <v>0.054786910197869104</v>
      </c>
      <c r="P9" s="137">
        <f t="shared" si="4"/>
        <v>0.038000000000000006</v>
      </c>
      <c r="Q9" s="138">
        <f t="shared" si="5"/>
        <v>0.05778691019786911</v>
      </c>
      <c r="R9" s="140">
        <f t="shared" si="6"/>
        <v>0.05778691019786911</v>
      </c>
    </row>
    <row r="10" spans="1:18" ht="12.75">
      <c r="A10" s="135" t="s">
        <v>182</v>
      </c>
      <c r="B10" s="136">
        <v>200</v>
      </c>
      <c r="C10" s="136">
        <v>0.75</v>
      </c>
      <c r="D10" s="136">
        <v>1314</v>
      </c>
      <c r="E10" s="137">
        <v>0.03</v>
      </c>
      <c r="F10" s="136">
        <v>150</v>
      </c>
      <c r="G10" s="136">
        <v>5</v>
      </c>
      <c r="H10" s="136">
        <v>10</v>
      </c>
      <c r="I10" s="136">
        <f t="shared" si="7"/>
        <v>0.0228310502283105</v>
      </c>
      <c r="J10" s="138">
        <f t="shared" si="8"/>
        <v>0.0528310502283105</v>
      </c>
      <c r="K10" s="141">
        <v>0</v>
      </c>
      <c r="L10" s="140">
        <f t="shared" si="0"/>
        <v>0.0528310502283105</v>
      </c>
      <c r="M10" s="137">
        <f t="shared" si="1"/>
        <v>0.033</v>
      </c>
      <c r="N10" s="138">
        <f t="shared" si="2"/>
        <v>0.0558310502283105</v>
      </c>
      <c r="O10" s="140">
        <f t="shared" si="3"/>
        <v>0.0558310502283105</v>
      </c>
      <c r="P10" s="137">
        <f t="shared" si="4"/>
        <v>0.036</v>
      </c>
      <c r="Q10" s="138">
        <f t="shared" si="5"/>
        <v>0.0588310502283105</v>
      </c>
      <c r="R10" s="140">
        <f t="shared" si="6"/>
        <v>0.0588310502283105</v>
      </c>
    </row>
    <row r="11" spans="1:18" ht="25.5">
      <c r="A11" s="135" t="s">
        <v>215</v>
      </c>
      <c r="B11" s="136">
        <v>200</v>
      </c>
      <c r="C11" s="136">
        <v>0.75</v>
      </c>
      <c r="D11" s="136">
        <v>1314</v>
      </c>
      <c r="E11" s="137">
        <v>0.04</v>
      </c>
      <c r="F11" s="136">
        <v>180</v>
      </c>
      <c r="G11" s="136">
        <v>0.5</v>
      </c>
      <c r="H11" s="136">
        <v>11</v>
      </c>
      <c r="I11" s="136">
        <f t="shared" si="7"/>
        <v>0.0273972602739726</v>
      </c>
      <c r="J11" s="138">
        <f t="shared" si="8"/>
        <v>0.06739726027397261</v>
      </c>
      <c r="K11" s="141">
        <v>0</v>
      </c>
      <c r="L11" s="140">
        <f t="shared" si="0"/>
        <v>0.06739726027397261</v>
      </c>
      <c r="M11" s="137">
        <f t="shared" si="1"/>
        <v>0.0403</v>
      </c>
      <c r="N11" s="138">
        <f t="shared" si="2"/>
        <v>0.0676972602739726</v>
      </c>
      <c r="O11" s="140">
        <f t="shared" si="3"/>
        <v>0.0676972602739726</v>
      </c>
      <c r="P11" s="137">
        <f t="shared" si="4"/>
        <v>0.0466</v>
      </c>
      <c r="Q11" s="138">
        <f t="shared" si="5"/>
        <v>0.0739972602739726</v>
      </c>
      <c r="R11" s="140">
        <f t="shared" si="6"/>
        <v>0.0739972602739726</v>
      </c>
    </row>
    <row r="12" spans="1:18" ht="12.75">
      <c r="A12" s="135" t="s">
        <v>191</v>
      </c>
      <c r="B12" s="136">
        <v>375</v>
      </c>
      <c r="C12" s="136">
        <v>0.4</v>
      </c>
      <c r="D12" s="136">
        <v>1314</v>
      </c>
      <c r="E12" s="137">
        <v>-0.001</v>
      </c>
      <c r="F12" s="136">
        <v>100</v>
      </c>
      <c r="G12" s="136">
        <v>0</v>
      </c>
      <c r="H12" s="136">
        <v>0</v>
      </c>
      <c r="I12" s="136">
        <f t="shared" si="7"/>
        <v>0.028538812785388126</v>
      </c>
      <c r="J12" s="138">
        <f t="shared" si="8"/>
        <v>0.027538812785388125</v>
      </c>
      <c r="K12" s="141">
        <v>0</v>
      </c>
      <c r="L12" s="140">
        <f t="shared" si="0"/>
        <v>0.027538812785388125</v>
      </c>
      <c r="M12" s="137">
        <f t="shared" si="1"/>
        <v>-0.001</v>
      </c>
      <c r="N12" s="138">
        <f t="shared" si="2"/>
        <v>0.027538812785388125</v>
      </c>
      <c r="O12" s="140">
        <f t="shared" si="3"/>
        <v>0.027538812785388125</v>
      </c>
      <c r="P12" s="137">
        <f t="shared" si="4"/>
        <v>-0.001</v>
      </c>
      <c r="Q12" s="138">
        <f t="shared" si="5"/>
        <v>0.027538812785388125</v>
      </c>
      <c r="R12" s="140">
        <f t="shared" si="6"/>
        <v>0.027538812785388125</v>
      </c>
    </row>
    <row r="13" spans="1:18" ht="12.75">
      <c r="A13" s="135" t="s">
        <v>192</v>
      </c>
      <c r="B13" s="136">
        <v>750</v>
      </c>
      <c r="C13" s="136">
        <v>0.2</v>
      </c>
      <c r="D13" s="136">
        <v>1314</v>
      </c>
      <c r="E13" s="137">
        <v>-0.001</v>
      </c>
      <c r="F13" s="136">
        <v>100</v>
      </c>
      <c r="G13" s="136">
        <v>0</v>
      </c>
      <c r="H13" s="136">
        <v>0</v>
      </c>
      <c r="I13" s="136">
        <f t="shared" si="7"/>
        <v>0.05707762557077625</v>
      </c>
      <c r="J13" s="138">
        <f t="shared" si="8"/>
        <v>0.05607762557077625</v>
      </c>
      <c r="K13" s="141">
        <v>0</v>
      </c>
      <c r="L13" s="140">
        <f t="shared" si="0"/>
        <v>0.05607762557077625</v>
      </c>
      <c r="M13" s="137">
        <f t="shared" si="1"/>
        <v>-0.001</v>
      </c>
      <c r="N13" s="138">
        <f t="shared" si="2"/>
        <v>0.05607762557077625</v>
      </c>
      <c r="O13" s="140">
        <f t="shared" si="3"/>
        <v>0.05607762557077625</v>
      </c>
      <c r="P13" s="137">
        <f t="shared" si="4"/>
        <v>-0.001</v>
      </c>
      <c r="Q13" s="138">
        <f t="shared" si="5"/>
        <v>0.05607762557077625</v>
      </c>
      <c r="R13" s="140">
        <f t="shared" si="6"/>
        <v>0.05607762557077625</v>
      </c>
    </row>
    <row r="14" spans="1:18" ht="12.75">
      <c r="A14" s="135" t="s">
        <v>193</v>
      </c>
      <c r="B14" s="136">
        <v>500</v>
      </c>
      <c r="C14" s="136">
        <v>0.3</v>
      </c>
      <c r="D14" s="136">
        <v>1314</v>
      </c>
      <c r="E14" s="137">
        <v>0.01</v>
      </c>
      <c r="F14" s="136">
        <v>150</v>
      </c>
      <c r="G14" s="136">
        <v>0</v>
      </c>
      <c r="H14" s="136">
        <v>0</v>
      </c>
      <c r="I14" s="136">
        <f t="shared" si="7"/>
        <v>0.05707762557077625</v>
      </c>
      <c r="J14" s="138">
        <f t="shared" si="8"/>
        <v>0.06707762557077625</v>
      </c>
      <c r="K14" s="141">
        <v>0</v>
      </c>
      <c r="L14" s="140">
        <f t="shared" si="0"/>
        <v>0.06707762557077625</v>
      </c>
      <c r="M14" s="137">
        <f t="shared" si="1"/>
        <v>0.01</v>
      </c>
      <c r="N14" s="138">
        <f t="shared" si="2"/>
        <v>0.06707762557077625</v>
      </c>
      <c r="O14" s="140">
        <f t="shared" si="3"/>
        <v>0.06707762557077625</v>
      </c>
      <c r="P14" s="137">
        <f t="shared" si="4"/>
        <v>0.01</v>
      </c>
      <c r="Q14" s="138">
        <f t="shared" si="5"/>
        <v>0.06707762557077625</v>
      </c>
      <c r="R14" s="140">
        <f t="shared" si="6"/>
        <v>0.06707762557077625</v>
      </c>
    </row>
    <row r="15" spans="1:18" ht="26.25" thickBot="1">
      <c r="A15" s="133" t="s">
        <v>194</v>
      </c>
      <c r="B15" s="48">
        <v>50</v>
      </c>
      <c r="C15" s="48">
        <v>0.2</v>
      </c>
      <c r="D15" s="48">
        <v>88</v>
      </c>
      <c r="E15" s="116">
        <v>0.055</v>
      </c>
      <c r="F15" s="48">
        <v>70</v>
      </c>
      <c r="G15" s="48">
        <v>0</v>
      </c>
      <c r="H15" s="48">
        <v>7</v>
      </c>
      <c r="I15" s="48">
        <f t="shared" si="7"/>
        <v>0.03995433789954338</v>
      </c>
      <c r="J15" s="124">
        <f t="shared" si="8"/>
        <v>0.09495433789954338</v>
      </c>
      <c r="K15" s="54">
        <v>0</v>
      </c>
      <c r="L15" s="125">
        <f t="shared" si="0"/>
        <v>0.09495433789954338</v>
      </c>
      <c r="M15" s="116">
        <f t="shared" si="1"/>
        <v>0.055</v>
      </c>
      <c r="N15" s="124">
        <f t="shared" si="2"/>
        <v>0.09495433789954338</v>
      </c>
      <c r="O15" s="125">
        <f t="shared" si="3"/>
        <v>0.09495433789954338</v>
      </c>
      <c r="P15" s="116">
        <f t="shared" si="4"/>
        <v>0.0592</v>
      </c>
      <c r="Q15" s="124">
        <f t="shared" si="5"/>
        <v>0.09915433789954338</v>
      </c>
      <c r="R15" s="125">
        <f t="shared" si="6"/>
        <v>0.09915433789954338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6.7109375" style="0" customWidth="1"/>
    <col min="3" max="3" width="5.7109375" style="0" customWidth="1"/>
    <col min="4" max="4" width="6.28125" style="0" customWidth="1"/>
    <col min="5" max="5" width="7.421875" style="0" customWidth="1"/>
    <col min="6" max="6" width="8.7109375" style="0" customWidth="1"/>
    <col min="7" max="7" width="8.00390625" style="0" customWidth="1"/>
    <col min="8" max="8" width="7.57421875" style="0" customWidth="1"/>
    <col min="9" max="9" width="8.7109375" style="0" customWidth="1"/>
    <col min="10" max="10" width="7.7109375" style="0" customWidth="1"/>
    <col min="11" max="12" width="10.28125" style="0" customWidth="1"/>
  </cols>
  <sheetData>
    <row r="1" spans="1:10" ht="13.5" thickBot="1">
      <c r="A1" s="37"/>
      <c r="B1" s="37"/>
      <c r="C1" s="37"/>
      <c r="D1" s="37"/>
      <c r="E1" s="142"/>
      <c r="F1" s="142"/>
      <c r="G1" s="142"/>
      <c r="H1" s="142"/>
      <c r="I1" s="142"/>
      <c r="J1" s="142"/>
    </row>
    <row r="2" spans="1:12" ht="78.75" customHeight="1">
      <c r="A2" s="160" t="s">
        <v>216</v>
      </c>
      <c r="B2" s="161" t="s">
        <v>217</v>
      </c>
      <c r="C2" s="161" t="s">
        <v>218</v>
      </c>
      <c r="D2" s="161" t="s">
        <v>219</v>
      </c>
      <c r="E2" s="161" t="s">
        <v>220</v>
      </c>
      <c r="F2" s="161" t="s">
        <v>221</v>
      </c>
      <c r="G2" s="161" t="s">
        <v>222</v>
      </c>
      <c r="H2" s="161" t="s">
        <v>223</v>
      </c>
      <c r="I2" s="161" t="s">
        <v>224</v>
      </c>
      <c r="J2" s="161" t="s">
        <v>225</v>
      </c>
      <c r="K2" s="161" t="s">
        <v>226</v>
      </c>
      <c r="L2" s="162" t="s">
        <v>227</v>
      </c>
    </row>
    <row r="3" spans="1:12" ht="12.75">
      <c r="A3" s="10" t="s">
        <v>185</v>
      </c>
      <c r="B3" s="151">
        <v>1200</v>
      </c>
      <c r="C3" s="151">
        <v>0.5</v>
      </c>
      <c r="D3" s="151">
        <v>5256</v>
      </c>
      <c r="E3" s="152">
        <v>0.02</v>
      </c>
      <c r="F3" s="151">
        <v>0</v>
      </c>
      <c r="G3" s="151">
        <f>$F3/8760/$C3</f>
        <v>0</v>
      </c>
      <c r="H3" s="152">
        <f>E3+G3</f>
        <v>0.02</v>
      </c>
      <c r="I3" s="13">
        <f>0.06/(1-(1+0.06)^(-13))*350000000/(B3*1000)</f>
        <v>32.946697390838885</v>
      </c>
      <c r="J3" s="152">
        <f>$I3/8760/$C3+H3</f>
        <v>0.027522077029871892</v>
      </c>
      <c r="K3" s="153">
        <f>D3*J3</f>
        <v>144.65603686900667</v>
      </c>
      <c r="L3" s="154">
        <f>K3</f>
        <v>144.65603686900667</v>
      </c>
    </row>
    <row r="4" spans="1:12" ht="12.75">
      <c r="A4" s="10" t="s">
        <v>191</v>
      </c>
      <c r="B4" s="151">
        <v>375</v>
      </c>
      <c r="C4" s="151">
        <v>0.4</v>
      </c>
      <c r="D4" s="151">
        <v>1314</v>
      </c>
      <c r="E4" s="152">
        <v>-0.001</v>
      </c>
      <c r="F4" s="151">
        <v>100</v>
      </c>
      <c r="G4" s="151">
        <f>$F4/8760/$C4</f>
        <v>0.028538812785388126</v>
      </c>
      <c r="H4" s="152">
        <f>E4+G4</f>
        <v>0.027538812785388125</v>
      </c>
      <c r="I4" s="151">
        <v>0</v>
      </c>
      <c r="J4" s="152">
        <f>$I4/8760/$C4+H4</f>
        <v>0.027538812785388125</v>
      </c>
      <c r="K4" s="153">
        <f aca="true" t="shared" si="0" ref="K4:K9">D4*J4</f>
        <v>36.186</v>
      </c>
      <c r="L4" s="154">
        <f>K4</f>
        <v>36.186</v>
      </c>
    </row>
    <row r="5" spans="1:12" ht="12.75" customHeight="1">
      <c r="A5" s="10" t="s">
        <v>187</v>
      </c>
      <c r="B5" s="151">
        <v>420</v>
      </c>
      <c r="C5" s="151">
        <v>0.75</v>
      </c>
      <c r="D5" s="151">
        <v>2759</v>
      </c>
      <c r="E5" s="152">
        <v>0.03</v>
      </c>
      <c r="F5" s="151">
        <v>0</v>
      </c>
      <c r="G5" s="151">
        <f>$F5/8760/$C5</f>
        <v>0</v>
      </c>
      <c r="H5" s="152">
        <f>E5+G5</f>
        <v>0.03</v>
      </c>
      <c r="I5" s="13">
        <f>0.06/(1-(1+0.06)^(-17))*350000000/(B5*1000)</f>
        <v>79.53733685962487</v>
      </c>
      <c r="J5" s="152">
        <f>$I5/8760/$C5+H5</f>
        <v>0.04210613955245432</v>
      </c>
      <c r="K5" s="153">
        <f t="shared" si="0"/>
        <v>116.17083902522147</v>
      </c>
      <c r="L5" s="154">
        <f>K5</f>
        <v>116.17083902522147</v>
      </c>
    </row>
    <row r="6" spans="1:12" ht="25.5">
      <c r="A6" s="10" t="s">
        <v>186</v>
      </c>
      <c r="B6" s="151">
        <v>600</v>
      </c>
      <c r="C6" s="151">
        <v>0.5</v>
      </c>
      <c r="D6" s="151">
        <v>2628</v>
      </c>
      <c r="E6" s="152">
        <v>0.04</v>
      </c>
      <c r="F6" s="151">
        <v>0</v>
      </c>
      <c r="G6" s="151">
        <f>$F6/8760/$C6</f>
        <v>0</v>
      </c>
      <c r="H6" s="152">
        <f>E6+G6</f>
        <v>0.04</v>
      </c>
      <c r="I6" s="13">
        <f>0.06/(1-(1+0.06)^(-12))*350000000/(B6*1000)</f>
        <v>69.5782671387204</v>
      </c>
      <c r="J6" s="152">
        <f>$I6/8760/$C6+H6</f>
        <v>0.05588544911842932</v>
      </c>
      <c r="K6" s="153">
        <f t="shared" si="0"/>
        <v>146.86696028323226</v>
      </c>
      <c r="L6" s="154">
        <f>(D6-(D10-13000))*J6</f>
        <v>129.28539799057435</v>
      </c>
    </row>
    <row r="7" spans="1:12" ht="12.75">
      <c r="A7" s="10" t="s">
        <v>182</v>
      </c>
      <c r="B7" s="151">
        <v>200</v>
      </c>
      <c r="C7" s="151">
        <v>0.75</v>
      </c>
      <c r="D7" s="151">
        <v>1314</v>
      </c>
      <c r="E7" s="152">
        <v>0.03</v>
      </c>
      <c r="F7" s="151">
        <v>150</v>
      </c>
      <c r="G7" s="151">
        <f>$F7/8760/$C7</f>
        <v>0.0228310502283105</v>
      </c>
      <c r="H7" s="152">
        <f>E7+G7</f>
        <v>0.0528310502283105</v>
      </c>
      <c r="I7" s="151">
        <v>0</v>
      </c>
      <c r="J7" s="152">
        <f>$I7/8760/$C7+H7</f>
        <v>0.0528310502283105</v>
      </c>
      <c r="K7" s="153">
        <f t="shared" si="0"/>
        <v>69.42</v>
      </c>
      <c r="L7" s="154">
        <f>K7</f>
        <v>69.42</v>
      </c>
    </row>
    <row r="8" spans="1:12" ht="12.75">
      <c r="A8" s="10" t="s">
        <v>228</v>
      </c>
      <c r="B8" s="151">
        <v>100</v>
      </c>
      <c r="C8" s="151">
        <v>-0.05</v>
      </c>
      <c r="D8" s="151">
        <v>-44</v>
      </c>
      <c r="E8" s="152">
        <v>0</v>
      </c>
      <c r="F8" s="151">
        <v>50</v>
      </c>
      <c r="G8" s="151"/>
      <c r="H8" s="152"/>
      <c r="I8" s="151"/>
      <c r="J8" s="152"/>
      <c r="K8" s="153">
        <f>F8*B8*1000/1000000</f>
        <v>5</v>
      </c>
      <c r="L8" s="154">
        <f>K8</f>
        <v>5</v>
      </c>
    </row>
    <row r="9" spans="1:12" ht="25.5">
      <c r="A9" s="10" t="s">
        <v>194</v>
      </c>
      <c r="B9" s="151">
        <v>50</v>
      </c>
      <c r="C9" s="151">
        <v>0.2</v>
      </c>
      <c r="D9" s="151">
        <f>B9*8760*C9/1000</f>
        <v>87.6</v>
      </c>
      <c r="E9" s="152">
        <v>0.055</v>
      </c>
      <c r="F9" s="151">
        <v>70</v>
      </c>
      <c r="G9" s="151">
        <f>$F9/8760/$C9</f>
        <v>0.03995433789954338</v>
      </c>
      <c r="H9" s="152">
        <f>E9+G9</f>
        <v>0.09495433789954338</v>
      </c>
      <c r="I9" s="151">
        <v>0</v>
      </c>
      <c r="J9" s="152">
        <f>$I9/8760/$C9+H9</f>
        <v>0.09495433789954338</v>
      </c>
      <c r="K9" s="153">
        <f t="shared" si="0"/>
        <v>8.318</v>
      </c>
      <c r="L9" s="154">
        <f>K9</f>
        <v>8.318</v>
      </c>
    </row>
    <row r="10" spans="1:12" ht="12.75">
      <c r="A10" s="155" t="s">
        <v>129</v>
      </c>
      <c r="B10" s="151">
        <f>SUM(B3:B9)</f>
        <v>2945</v>
      </c>
      <c r="C10" s="151"/>
      <c r="D10" s="151">
        <f>SUM(D3:D9)</f>
        <v>13314.6</v>
      </c>
      <c r="E10" s="151"/>
      <c r="F10" s="151"/>
      <c r="G10" s="151"/>
      <c r="H10" s="151"/>
      <c r="I10" s="151"/>
      <c r="J10" s="151"/>
      <c r="K10" s="153">
        <f>SUM(K3:K9)</f>
        <v>526.6178361774604</v>
      </c>
      <c r="L10" s="154">
        <f>SUM(L3:L9)</f>
        <v>509.0362738848025</v>
      </c>
    </row>
    <row r="11" spans="1:12" ht="13.5" thickBot="1">
      <c r="A11" s="14"/>
      <c r="B11" s="156"/>
      <c r="C11" s="156"/>
      <c r="D11" s="156"/>
      <c r="E11" s="156"/>
      <c r="F11" s="156"/>
      <c r="G11" s="156"/>
      <c r="H11" s="156"/>
      <c r="I11" s="156"/>
      <c r="J11" s="157" t="s">
        <v>229</v>
      </c>
      <c r="K11" s="158">
        <f>K10/D10</f>
        <v>0.039551908144252204</v>
      </c>
      <c r="L11" s="159">
        <f>L10/13000</f>
        <v>0.03915663645267711</v>
      </c>
    </row>
    <row r="12" spans="10:12" ht="12.75">
      <c r="J12" s="22"/>
      <c r="K12" s="143"/>
      <c r="L12" s="143"/>
    </row>
    <row r="13" spans="1:12" ht="12.75">
      <c r="A13" t="s">
        <v>230</v>
      </c>
      <c r="J13" s="22"/>
      <c r="K13" s="143"/>
      <c r="L13" s="143"/>
    </row>
    <row r="14" spans="1:12" ht="12.75">
      <c r="A14" t="s">
        <v>231</v>
      </c>
      <c r="J14" s="22"/>
      <c r="K14" s="143"/>
      <c r="L14" s="143"/>
    </row>
    <row r="15" spans="1:12" ht="12.75">
      <c r="A15" t="s">
        <v>232</v>
      </c>
      <c r="J15" s="22"/>
      <c r="K15" s="143"/>
      <c r="L15" s="143"/>
    </row>
    <row r="16" ht="12.75">
      <c r="J16" s="22"/>
    </row>
    <row r="17" ht="12.75">
      <c r="A17" t="s">
        <v>233</v>
      </c>
    </row>
    <row r="18" spans="1:5" ht="12.75">
      <c r="A18" s="148" t="s">
        <v>234</v>
      </c>
      <c r="B18" s="148"/>
      <c r="D18" s="145">
        <f>H9</f>
        <v>0.09495433789954338</v>
      </c>
      <c r="E18" s="3" t="s">
        <v>38</v>
      </c>
    </row>
    <row r="20" ht="12.75">
      <c r="A20" t="str">
        <f>"If we all assume that each plant is producing its full annual GWh per year ("&amp;ROUND(D10,0)&amp;" GWh/yr), then"</f>
        <v>If we all assume that each plant is producing its full annual GWh per year (13315 GWh/yr), then</v>
      </c>
    </row>
    <row r="21" spans="1:6" ht="12.75">
      <c r="A21" s="148" t="s">
        <v>235</v>
      </c>
      <c r="B21" s="148"/>
      <c r="C21" s="148"/>
      <c r="E21" s="146">
        <f>K10</f>
        <v>526.6178361774604</v>
      </c>
      <c r="F21" s="3" t="s">
        <v>236</v>
      </c>
    </row>
    <row r="22" spans="1:5" ht="12.75">
      <c r="A22" s="148" t="s">
        <v>237</v>
      </c>
      <c r="B22" s="148"/>
      <c r="D22" s="145">
        <f>K11</f>
        <v>0.039551908144252204</v>
      </c>
      <c r="E22" s="149" t="s">
        <v>38</v>
      </c>
    </row>
    <row r="23" ht="12.75">
      <c r="D23" s="144"/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29" spans="1:7" ht="12.75">
      <c r="A29" t="s">
        <v>242</v>
      </c>
      <c r="F29" s="146">
        <f>L10</f>
        <v>509.0362738848025</v>
      </c>
      <c r="G29" s="3" t="s">
        <v>236</v>
      </c>
    </row>
    <row r="30" spans="1:5" ht="12.75">
      <c r="A30" t="s">
        <v>237</v>
      </c>
      <c r="D30" s="150">
        <f>L11</f>
        <v>0.03915663645267711</v>
      </c>
      <c r="E30" s="147" t="s">
        <v>171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14" sqref="E14"/>
    </sheetView>
  </sheetViews>
  <sheetFormatPr defaultColWidth="9.140625" defaultRowHeight="12.75"/>
  <cols>
    <col min="1" max="1" width="19.28125" style="0" customWidth="1"/>
    <col min="2" max="2" width="9.57421875" style="0" customWidth="1"/>
    <col min="5" max="5" width="9.28125" style="0" customWidth="1"/>
    <col min="7" max="7" width="10.00390625" style="0" customWidth="1"/>
    <col min="8" max="8" width="10.57421875" style="0" customWidth="1"/>
  </cols>
  <sheetData>
    <row r="1" ht="12.75">
      <c r="A1" s="3"/>
    </row>
    <row r="2" spans="1:2" ht="12.75">
      <c r="A2" t="s">
        <v>35</v>
      </c>
      <c r="B2" s="16">
        <v>0.12</v>
      </c>
    </row>
    <row r="3" spans="1:2" ht="12.75">
      <c r="A3" t="s">
        <v>36</v>
      </c>
      <c r="B3" s="16">
        <v>0.6</v>
      </c>
    </row>
    <row r="4" spans="1:3" ht="12.75">
      <c r="A4" t="s">
        <v>37</v>
      </c>
      <c r="B4">
        <v>0.15</v>
      </c>
      <c r="C4" t="s">
        <v>38</v>
      </c>
    </row>
    <row r="5" spans="1:3" ht="12.75">
      <c r="A5" t="s">
        <v>39</v>
      </c>
      <c r="B5">
        <v>0.09</v>
      </c>
      <c r="C5" t="s">
        <v>38</v>
      </c>
    </row>
    <row r="6" spans="1:2" ht="12.75">
      <c r="A6" t="s">
        <v>40</v>
      </c>
      <c r="B6" s="16">
        <v>0.15</v>
      </c>
    </row>
    <row r="7" spans="1:3" ht="12.75">
      <c r="A7" t="s">
        <v>41</v>
      </c>
      <c r="B7" s="17">
        <v>600</v>
      </c>
      <c r="C7" t="s">
        <v>42</v>
      </c>
    </row>
    <row r="8" spans="1:3" ht="12.75">
      <c r="A8" t="s">
        <v>43</v>
      </c>
      <c r="B8" s="17">
        <v>425</v>
      </c>
      <c r="C8" t="s">
        <v>42</v>
      </c>
    </row>
    <row r="9" spans="1:2" ht="12.75">
      <c r="A9" t="s">
        <v>44</v>
      </c>
      <c r="B9" s="18">
        <v>800</v>
      </c>
    </row>
    <row r="10" spans="1:2" ht="12.75">
      <c r="A10" t="s">
        <v>45</v>
      </c>
      <c r="B10" s="18">
        <f>B9*1.1</f>
        <v>880.0000000000001</v>
      </c>
    </row>
    <row r="11" spans="2:8" ht="12.75">
      <c r="B11" s="20" t="s">
        <v>46</v>
      </c>
      <c r="C11" s="21"/>
      <c r="G11" s="22" t="s">
        <v>47</v>
      </c>
      <c r="H11" s="18">
        <f>E13+F13+H13</f>
        <v>33.23532093043178</v>
      </c>
    </row>
    <row r="12" spans="2:8" ht="25.5" customHeight="1">
      <c r="B12" s="22" t="s">
        <v>48</v>
      </c>
      <c r="C12" s="22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</row>
    <row r="13" spans="1:8" ht="12.75">
      <c r="A13" t="s">
        <v>54</v>
      </c>
      <c r="B13" s="19">
        <f>NPV($B$3,B15:B39)+B14</f>
        <v>889.9992900251852</v>
      </c>
      <c r="C13" s="19">
        <f>NPV($B$3,C15:C39)+C14</f>
        <v>943.749497101173</v>
      </c>
      <c r="E13" s="18">
        <f>E14</f>
        <v>-80.00000000000011</v>
      </c>
      <c r="F13" s="18">
        <f>NPV($B$2,F15:F39)</f>
        <v>-123.52944101501659</v>
      </c>
      <c r="G13" s="19">
        <f>NPV($B$2,G15:G39)</f>
        <v>205.88240169169433</v>
      </c>
      <c r="H13" s="19">
        <f>NPV($B$2,H15:H39)</f>
        <v>236.76476194544847</v>
      </c>
    </row>
    <row r="14" spans="1:8" ht="12.75">
      <c r="A14" t="s">
        <v>55</v>
      </c>
      <c r="B14" s="18">
        <f>$B$9</f>
        <v>800</v>
      </c>
      <c r="C14" s="18">
        <f>$B$10</f>
        <v>880.0000000000001</v>
      </c>
      <c r="E14" s="18">
        <f>B14-C14</f>
        <v>-80.00000000000011</v>
      </c>
      <c r="F14" s="18"/>
      <c r="G14" s="18"/>
      <c r="H14" s="18"/>
    </row>
    <row r="15" spans="1:8" ht="12.75">
      <c r="A15">
        <v>1</v>
      </c>
      <c r="B15" s="18">
        <f aca="true" t="shared" si="0" ref="B15:B39">$B$7*$B$5</f>
        <v>54</v>
      </c>
      <c r="C15" s="18">
        <f aca="true" t="shared" si="1" ref="C15:C39">$B$8*$B$5</f>
        <v>38.25</v>
      </c>
      <c r="E15" s="18"/>
      <c r="F15" s="18">
        <f>-($B$7-$B$8)*$B$5</f>
        <v>-15.75</v>
      </c>
      <c r="G15" s="18">
        <f>($B$7-$B$8)*$B$4</f>
        <v>26.25</v>
      </c>
      <c r="H15" s="18">
        <f>G15*1.15</f>
        <v>30.187499999999996</v>
      </c>
    </row>
    <row r="16" spans="1:8" ht="12.75">
      <c r="A16">
        <f aca="true" t="shared" si="2" ref="A16:A39">A15+1</f>
        <v>2</v>
      </c>
      <c r="B16" s="18">
        <f t="shared" si="0"/>
        <v>54</v>
      </c>
      <c r="C16" s="18">
        <f t="shared" si="1"/>
        <v>38.25</v>
      </c>
      <c r="E16" s="18"/>
      <c r="F16" s="18">
        <f aca="true" t="shared" si="3" ref="F16:F31">-($B$7-$B$8)*$B$5</f>
        <v>-15.75</v>
      </c>
      <c r="G16" s="18">
        <f aca="true" t="shared" si="4" ref="G16:G31">($B$7-$B$8)*$B$4</f>
        <v>26.25</v>
      </c>
      <c r="H16" s="18">
        <f aca="true" t="shared" si="5" ref="H16:H31">G16*1.15</f>
        <v>30.187499999999996</v>
      </c>
    </row>
    <row r="17" spans="1:8" ht="12.75">
      <c r="A17">
        <f t="shared" si="2"/>
        <v>3</v>
      </c>
      <c r="B17" s="18">
        <f t="shared" si="0"/>
        <v>54</v>
      </c>
      <c r="C17" s="18">
        <f t="shared" si="1"/>
        <v>38.25</v>
      </c>
      <c r="E17" s="18"/>
      <c r="F17" s="18">
        <f t="shared" si="3"/>
        <v>-15.75</v>
      </c>
      <c r="G17" s="18">
        <f t="shared" si="4"/>
        <v>26.25</v>
      </c>
      <c r="H17" s="18">
        <f t="shared" si="5"/>
        <v>30.187499999999996</v>
      </c>
    </row>
    <row r="18" spans="1:8" ht="12.75">
      <c r="A18">
        <f t="shared" si="2"/>
        <v>4</v>
      </c>
      <c r="B18" s="18">
        <f t="shared" si="0"/>
        <v>54</v>
      </c>
      <c r="C18" s="18">
        <f t="shared" si="1"/>
        <v>38.25</v>
      </c>
      <c r="E18" s="18"/>
      <c r="F18" s="18">
        <f t="shared" si="3"/>
        <v>-15.75</v>
      </c>
      <c r="G18" s="18">
        <f t="shared" si="4"/>
        <v>26.25</v>
      </c>
      <c r="H18" s="18">
        <f t="shared" si="5"/>
        <v>30.187499999999996</v>
      </c>
    </row>
    <row r="19" spans="1:8" ht="12.75">
      <c r="A19">
        <f t="shared" si="2"/>
        <v>5</v>
      </c>
      <c r="B19" s="18">
        <f t="shared" si="0"/>
        <v>54</v>
      </c>
      <c r="C19" s="18">
        <f t="shared" si="1"/>
        <v>38.25</v>
      </c>
      <c r="E19" s="18"/>
      <c r="F19" s="18">
        <f t="shared" si="3"/>
        <v>-15.75</v>
      </c>
      <c r="G19" s="18">
        <f t="shared" si="4"/>
        <v>26.25</v>
      </c>
      <c r="H19" s="18">
        <f t="shared" si="5"/>
        <v>30.187499999999996</v>
      </c>
    </row>
    <row r="20" spans="1:8" ht="12.75">
      <c r="A20">
        <f t="shared" si="2"/>
        <v>6</v>
      </c>
      <c r="B20" s="18">
        <f t="shared" si="0"/>
        <v>54</v>
      </c>
      <c r="C20" s="18">
        <f t="shared" si="1"/>
        <v>38.25</v>
      </c>
      <c r="E20" s="18"/>
      <c r="F20" s="18">
        <f t="shared" si="3"/>
        <v>-15.75</v>
      </c>
      <c r="G20" s="18">
        <f t="shared" si="4"/>
        <v>26.25</v>
      </c>
      <c r="H20" s="18">
        <f t="shared" si="5"/>
        <v>30.187499999999996</v>
      </c>
    </row>
    <row r="21" spans="1:8" ht="12.75">
      <c r="A21">
        <f t="shared" si="2"/>
        <v>7</v>
      </c>
      <c r="B21" s="18">
        <f t="shared" si="0"/>
        <v>54</v>
      </c>
      <c r="C21" s="18">
        <f t="shared" si="1"/>
        <v>38.25</v>
      </c>
      <c r="E21" s="18"/>
      <c r="F21" s="18">
        <f t="shared" si="3"/>
        <v>-15.75</v>
      </c>
      <c r="G21" s="18">
        <f t="shared" si="4"/>
        <v>26.25</v>
      </c>
      <c r="H21" s="18">
        <f t="shared" si="5"/>
        <v>30.187499999999996</v>
      </c>
    </row>
    <row r="22" spans="1:8" ht="12.75">
      <c r="A22">
        <f t="shared" si="2"/>
        <v>8</v>
      </c>
      <c r="B22" s="18">
        <f t="shared" si="0"/>
        <v>54</v>
      </c>
      <c r="C22" s="18">
        <f t="shared" si="1"/>
        <v>38.25</v>
      </c>
      <c r="E22" s="18"/>
      <c r="F22" s="18">
        <f t="shared" si="3"/>
        <v>-15.75</v>
      </c>
      <c r="G22" s="18">
        <f t="shared" si="4"/>
        <v>26.25</v>
      </c>
      <c r="H22" s="18">
        <f t="shared" si="5"/>
        <v>30.187499999999996</v>
      </c>
    </row>
    <row r="23" spans="1:8" ht="12.75">
      <c r="A23">
        <f t="shared" si="2"/>
        <v>9</v>
      </c>
      <c r="B23" s="18">
        <f t="shared" si="0"/>
        <v>54</v>
      </c>
      <c r="C23" s="18">
        <f t="shared" si="1"/>
        <v>38.25</v>
      </c>
      <c r="E23" s="18"/>
      <c r="F23" s="18">
        <f t="shared" si="3"/>
        <v>-15.75</v>
      </c>
      <c r="G23" s="18">
        <f t="shared" si="4"/>
        <v>26.25</v>
      </c>
      <c r="H23" s="18">
        <f t="shared" si="5"/>
        <v>30.187499999999996</v>
      </c>
    </row>
    <row r="24" spans="1:8" ht="12.75">
      <c r="A24">
        <f t="shared" si="2"/>
        <v>10</v>
      </c>
      <c r="B24" s="18">
        <f t="shared" si="0"/>
        <v>54</v>
      </c>
      <c r="C24" s="18">
        <f t="shared" si="1"/>
        <v>38.25</v>
      </c>
      <c r="E24" s="18"/>
      <c r="F24" s="18">
        <f t="shared" si="3"/>
        <v>-15.75</v>
      </c>
      <c r="G24" s="18">
        <f t="shared" si="4"/>
        <v>26.25</v>
      </c>
      <c r="H24" s="18">
        <f t="shared" si="5"/>
        <v>30.187499999999996</v>
      </c>
    </row>
    <row r="25" spans="1:8" ht="12.75">
      <c r="A25">
        <f t="shared" si="2"/>
        <v>11</v>
      </c>
      <c r="B25" s="18">
        <f t="shared" si="0"/>
        <v>54</v>
      </c>
      <c r="C25" s="18">
        <f t="shared" si="1"/>
        <v>38.25</v>
      </c>
      <c r="E25" s="18"/>
      <c r="F25" s="18">
        <f t="shared" si="3"/>
        <v>-15.75</v>
      </c>
      <c r="G25" s="18">
        <f t="shared" si="4"/>
        <v>26.25</v>
      </c>
      <c r="H25" s="18">
        <f t="shared" si="5"/>
        <v>30.187499999999996</v>
      </c>
    </row>
    <row r="26" spans="1:8" ht="12.75">
      <c r="A26">
        <f t="shared" si="2"/>
        <v>12</v>
      </c>
      <c r="B26" s="18">
        <f t="shared" si="0"/>
        <v>54</v>
      </c>
      <c r="C26" s="18">
        <f t="shared" si="1"/>
        <v>38.25</v>
      </c>
      <c r="E26" s="18"/>
      <c r="F26" s="18">
        <f t="shared" si="3"/>
        <v>-15.75</v>
      </c>
      <c r="G26" s="18">
        <f t="shared" si="4"/>
        <v>26.25</v>
      </c>
      <c r="H26" s="18">
        <f t="shared" si="5"/>
        <v>30.187499999999996</v>
      </c>
    </row>
    <row r="27" spans="1:8" ht="12.75">
      <c r="A27">
        <f t="shared" si="2"/>
        <v>13</v>
      </c>
      <c r="B27" s="18">
        <f t="shared" si="0"/>
        <v>54</v>
      </c>
      <c r="C27" s="18">
        <f t="shared" si="1"/>
        <v>38.25</v>
      </c>
      <c r="E27" s="18"/>
      <c r="F27" s="18">
        <f t="shared" si="3"/>
        <v>-15.75</v>
      </c>
      <c r="G27" s="18">
        <f t="shared" si="4"/>
        <v>26.25</v>
      </c>
      <c r="H27" s="18">
        <f t="shared" si="5"/>
        <v>30.187499999999996</v>
      </c>
    </row>
    <row r="28" spans="1:8" ht="12.75">
      <c r="A28">
        <f t="shared" si="2"/>
        <v>14</v>
      </c>
      <c r="B28" s="18">
        <f t="shared" si="0"/>
        <v>54</v>
      </c>
      <c r="C28" s="18">
        <f t="shared" si="1"/>
        <v>38.25</v>
      </c>
      <c r="E28" s="18"/>
      <c r="F28" s="18">
        <f t="shared" si="3"/>
        <v>-15.75</v>
      </c>
      <c r="G28" s="18">
        <f t="shared" si="4"/>
        <v>26.25</v>
      </c>
      <c r="H28" s="18">
        <f t="shared" si="5"/>
        <v>30.187499999999996</v>
      </c>
    </row>
    <row r="29" spans="1:8" ht="12.75">
      <c r="A29">
        <f t="shared" si="2"/>
        <v>15</v>
      </c>
      <c r="B29" s="18">
        <f t="shared" si="0"/>
        <v>54</v>
      </c>
      <c r="C29" s="18">
        <f t="shared" si="1"/>
        <v>38.25</v>
      </c>
      <c r="E29" s="18"/>
      <c r="F29" s="18">
        <f t="shared" si="3"/>
        <v>-15.75</v>
      </c>
      <c r="G29" s="18">
        <f t="shared" si="4"/>
        <v>26.25</v>
      </c>
      <c r="H29" s="18">
        <f t="shared" si="5"/>
        <v>30.187499999999996</v>
      </c>
    </row>
    <row r="30" spans="1:8" ht="12.75">
      <c r="A30">
        <f t="shared" si="2"/>
        <v>16</v>
      </c>
      <c r="B30" s="18">
        <f t="shared" si="0"/>
        <v>54</v>
      </c>
      <c r="C30" s="18">
        <f t="shared" si="1"/>
        <v>38.25</v>
      </c>
      <c r="E30" s="18"/>
      <c r="F30" s="18">
        <f t="shared" si="3"/>
        <v>-15.75</v>
      </c>
      <c r="G30" s="18">
        <f t="shared" si="4"/>
        <v>26.25</v>
      </c>
      <c r="H30" s="18">
        <f t="shared" si="5"/>
        <v>30.187499999999996</v>
      </c>
    </row>
    <row r="31" spans="1:8" ht="12.75">
      <c r="A31">
        <f t="shared" si="2"/>
        <v>17</v>
      </c>
      <c r="B31" s="18">
        <f t="shared" si="0"/>
        <v>54</v>
      </c>
      <c r="C31" s="18">
        <f t="shared" si="1"/>
        <v>38.25</v>
      </c>
      <c r="E31" s="18"/>
      <c r="F31" s="18">
        <f t="shared" si="3"/>
        <v>-15.75</v>
      </c>
      <c r="G31" s="18">
        <f t="shared" si="4"/>
        <v>26.25</v>
      </c>
      <c r="H31" s="18">
        <f t="shared" si="5"/>
        <v>30.187499999999996</v>
      </c>
    </row>
    <row r="32" spans="1:8" ht="12.75">
      <c r="A32">
        <f t="shared" si="2"/>
        <v>18</v>
      </c>
      <c r="B32" s="18">
        <f t="shared" si="0"/>
        <v>54</v>
      </c>
      <c r="C32" s="18">
        <f t="shared" si="1"/>
        <v>38.25</v>
      </c>
      <c r="E32" s="18"/>
      <c r="F32" s="18">
        <f aca="true" t="shared" si="6" ref="F32:F39">-($B$7-$B$8)*$B$5</f>
        <v>-15.75</v>
      </c>
      <c r="G32" s="18">
        <f aca="true" t="shared" si="7" ref="G32:G39">($B$7-$B$8)*$B$4</f>
        <v>26.25</v>
      </c>
      <c r="H32" s="18">
        <f aca="true" t="shared" si="8" ref="H32:H39">G32*1.15</f>
        <v>30.187499999999996</v>
      </c>
    </row>
    <row r="33" spans="1:8" ht="12.75">
      <c r="A33">
        <f t="shared" si="2"/>
        <v>19</v>
      </c>
      <c r="B33" s="18">
        <f t="shared" si="0"/>
        <v>54</v>
      </c>
      <c r="C33" s="18">
        <f t="shared" si="1"/>
        <v>38.25</v>
      </c>
      <c r="E33" s="18"/>
      <c r="F33" s="18">
        <f t="shared" si="6"/>
        <v>-15.75</v>
      </c>
      <c r="G33" s="18">
        <f t="shared" si="7"/>
        <v>26.25</v>
      </c>
      <c r="H33" s="18">
        <f t="shared" si="8"/>
        <v>30.187499999999996</v>
      </c>
    </row>
    <row r="34" spans="1:8" ht="12.75">
      <c r="A34">
        <f t="shared" si="2"/>
        <v>20</v>
      </c>
      <c r="B34" s="18">
        <f t="shared" si="0"/>
        <v>54</v>
      </c>
      <c r="C34" s="18">
        <f t="shared" si="1"/>
        <v>38.25</v>
      </c>
      <c r="E34" s="18"/>
      <c r="F34" s="18">
        <f t="shared" si="6"/>
        <v>-15.75</v>
      </c>
      <c r="G34" s="18">
        <f t="shared" si="7"/>
        <v>26.25</v>
      </c>
      <c r="H34" s="18">
        <f t="shared" si="8"/>
        <v>30.187499999999996</v>
      </c>
    </row>
    <row r="35" spans="1:8" ht="12.75">
      <c r="A35">
        <f t="shared" si="2"/>
        <v>21</v>
      </c>
      <c r="B35" s="18">
        <f t="shared" si="0"/>
        <v>54</v>
      </c>
      <c r="C35" s="18">
        <f t="shared" si="1"/>
        <v>38.25</v>
      </c>
      <c r="E35" s="18"/>
      <c r="F35" s="18">
        <f t="shared" si="6"/>
        <v>-15.75</v>
      </c>
      <c r="G35" s="18">
        <f t="shared" si="7"/>
        <v>26.25</v>
      </c>
      <c r="H35" s="18">
        <f t="shared" si="8"/>
        <v>30.187499999999996</v>
      </c>
    </row>
    <row r="36" spans="1:8" ht="12.75">
      <c r="A36">
        <f t="shared" si="2"/>
        <v>22</v>
      </c>
      <c r="B36" s="18">
        <f t="shared" si="0"/>
        <v>54</v>
      </c>
      <c r="C36" s="18">
        <f t="shared" si="1"/>
        <v>38.25</v>
      </c>
      <c r="E36" s="18"/>
      <c r="F36" s="18">
        <f t="shared" si="6"/>
        <v>-15.75</v>
      </c>
      <c r="G36" s="18">
        <f t="shared" si="7"/>
        <v>26.25</v>
      </c>
      <c r="H36" s="18">
        <f t="shared" si="8"/>
        <v>30.187499999999996</v>
      </c>
    </row>
    <row r="37" spans="1:8" ht="12.75">
      <c r="A37">
        <f t="shared" si="2"/>
        <v>23</v>
      </c>
      <c r="B37" s="18">
        <f t="shared" si="0"/>
        <v>54</v>
      </c>
      <c r="C37" s="18">
        <f t="shared" si="1"/>
        <v>38.25</v>
      </c>
      <c r="E37" s="18"/>
      <c r="F37" s="18">
        <f t="shared" si="6"/>
        <v>-15.75</v>
      </c>
      <c r="G37" s="18">
        <f t="shared" si="7"/>
        <v>26.25</v>
      </c>
      <c r="H37" s="18">
        <f t="shared" si="8"/>
        <v>30.187499999999996</v>
      </c>
    </row>
    <row r="38" spans="1:8" ht="12.75">
      <c r="A38">
        <f t="shared" si="2"/>
        <v>24</v>
      </c>
      <c r="B38" s="18">
        <f t="shared" si="0"/>
        <v>54</v>
      </c>
      <c r="C38" s="18">
        <f t="shared" si="1"/>
        <v>38.25</v>
      </c>
      <c r="E38" s="18"/>
      <c r="F38" s="18">
        <f t="shared" si="6"/>
        <v>-15.75</v>
      </c>
      <c r="G38" s="18">
        <f t="shared" si="7"/>
        <v>26.25</v>
      </c>
      <c r="H38" s="18">
        <f t="shared" si="8"/>
        <v>30.187499999999996</v>
      </c>
    </row>
    <row r="39" spans="1:8" ht="12.75">
      <c r="A39">
        <f t="shared" si="2"/>
        <v>25</v>
      </c>
      <c r="B39" s="18">
        <f t="shared" si="0"/>
        <v>54</v>
      </c>
      <c r="C39" s="18">
        <f t="shared" si="1"/>
        <v>38.25</v>
      </c>
      <c r="E39" s="18"/>
      <c r="F39" s="18">
        <f t="shared" si="6"/>
        <v>-15.75</v>
      </c>
      <c r="G39" s="18">
        <f t="shared" si="7"/>
        <v>26.25</v>
      </c>
      <c r="H39" s="18">
        <f t="shared" si="8"/>
        <v>30.187499999999996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9.57421875" style="0" customWidth="1"/>
    <col min="5" max="5" width="9.28125" style="0" customWidth="1"/>
    <col min="7" max="7" width="10.00390625" style="0" customWidth="1"/>
    <col min="8" max="8" width="10.57421875" style="0" customWidth="1"/>
  </cols>
  <sheetData>
    <row r="1" ht="12.75">
      <c r="A1" s="3"/>
    </row>
    <row r="2" spans="1:2" ht="12.75">
      <c r="A2" t="s">
        <v>35</v>
      </c>
      <c r="B2" s="16">
        <v>0.12</v>
      </c>
    </row>
    <row r="3" spans="1:2" ht="12.75">
      <c r="A3" t="s">
        <v>36</v>
      </c>
      <c r="B3" s="16">
        <v>0.6</v>
      </c>
    </row>
    <row r="4" spans="1:3" ht="12.75">
      <c r="A4" t="s">
        <v>37</v>
      </c>
      <c r="B4">
        <v>0.15</v>
      </c>
      <c r="C4" t="s">
        <v>38</v>
      </c>
    </row>
    <row r="5" spans="1:3" ht="12.75">
      <c r="A5" t="s">
        <v>39</v>
      </c>
      <c r="B5">
        <v>0.09</v>
      </c>
      <c r="C5" t="s">
        <v>38</v>
      </c>
    </row>
    <row r="6" spans="1:2" ht="12.75">
      <c r="A6" t="s">
        <v>40</v>
      </c>
      <c r="B6" s="16">
        <v>0.15</v>
      </c>
    </row>
    <row r="7" spans="1:3" ht="12.75">
      <c r="A7" t="s">
        <v>41</v>
      </c>
      <c r="B7" s="17">
        <f>40*2*1920/1000</f>
        <v>153.6</v>
      </c>
      <c r="C7" t="s">
        <v>42</v>
      </c>
    </row>
    <row r="8" spans="1:3" ht="12.75">
      <c r="A8" t="s">
        <v>43</v>
      </c>
      <c r="B8" s="17">
        <f>32*2*1920/1000</f>
        <v>122.88</v>
      </c>
      <c r="C8" t="s">
        <v>42</v>
      </c>
    </row>
    <row r="9" spans="1:2" ht="12.75">
      <c r="A9" t="s">
        <v>44</v>
      </c>
      <c r="B9" s="18">
        <v>20</v>
      </c>
    </row>
    <row r="10" spans="1:2" ht="12.75">
      <c r="A10" t="s">
        <v>45</v>
      </c>
      <c r="B10" s="18">
        <f>B9*1.2</f>
        <v>24</v>
      </c>
    </row>
    <row r="11" spans="2:8" ht="12.75">
      <c r="B11" s="20" t="s">
        <v>46</v>
      </c>
      <c r="C11" s="21"/>
      <c r="G11" s="22" t="s">
        <v>47</v>
      </c>
      <c r="H11" s="18">
        <f>E13+F13+H13</f>
        <v>5.135944807223176</v>
      </c>
    </row>
    <row r="12" spans="2:8" ht="25.5" customHeight="1">
      <c r="B12" s="22" t="s">
        <v>48</v>
      </c>
      <c r="C12" s="22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</row>
    <row r="13" spans="1:8" ht="12.75">
      <c r="A13" t="s">
        <v>54</v>
      </c>
      <c r="B13" s="19">
        <f>NPV($B$3,B15:B19)+B14</f>
        <v>40.84273437499999</v>
      </c>
      <c r="C13" s="19">
        <f>NPV($B$3,C15:C19)+C14</f>
        <v>40.674187499999995</v>
      </c>
      <c r="E13" s="18">
        <f>E14</f>
        <v>-4</v>
      </c>
      <c r="F13" s="18">
        <f>NPV($B$2,F15:F19)</f>
        <v>-9.966485244243465</v>
      </c>
      <c r="G13" s="18">
        <f>NPV($B$2,G15:G19)</f>
        <v>16.61080874040578</v>
      </c>
      <c r="H13" s="18">
        <f>NPV($B$2,H15:H19)</f>
        <v>19.10243005146664</v>
      </c>
    </row>
    <row r="14" spans="1:8" ht="12.75">
      <c r="A14" t="s">
        <v>55</v>
      </c>
      <c r="B14" s="18">
        <f>$B$9</f>
        <v>20</v>
      </c>
      <c r="C14" s="18">
        <f>$B$10</f>
        <v>24</v>
      </c>
      <c r="E14" s="18">
        <f>B14-C14</f>
        <v>-4</v>
      </c>
      <c r="F14" s="18"/>
      <c r="G14" s="18"/>
      <c r="H14" s="18"/>
    </row>
    <row r="15" spans="1:8" ht="12.75">
      <c r="A15">
        <v>1</v>
      </c>
      <c r="B15" s="18">
        <f>$B$7*$B$5</f>
        <v>13.824</v>
      </c>
      <c r="C15" s="18">
        <f>$B$8*$B$5</f>
        <v>11.059199999999999</v>
      </c>
      <c r="E15" s="18"/>
      <c r="F15" s="18">
        <f>-($B$7-$B$8)*$B$5</f>
        <v>-2.7647999999999997</v>
      </c>
      <c r="G15" s="18">
        <f>($B$7-$B$8)*$B$4</f>
        <v>4.608</v>
      </c>
      <c r="H15" s="18">
        <f>G15*1.15</f>
        <v>5.299199999999999</v>
      </c>
    </row>
    <row r="16" spans="1:8" ht="12.75">
      <c r="A16">
        <f>A15+1</f>
        <v>2</v>
      </c>
      <c r="B16" s="18">
        <f>$B$7*$B$5</f>
        <v>13.824</v>
      </c>
      <c r="C16" s="18">
        <f>$B$8*$B$5</f>
        <v>11.059199999999999</v>
      </c>
      <c r="E16" s="18"/>
      <c r="F16" s="18">
        <f>-($B$7-$B$8)*$B$5</f>
        <v>-2.7647999999999997</v>
      </c>
      <c r="G16" s="18">
        <f>($B$7-$B$8)*$B$4</f>
        <v>4.608</v>
      </c>
      <c r="H16" s="18">
        <f>G16*1.15</f>
        <v>5.299199999999999</v>
      </c>
    </row>
    <row r="17" spans="1:8" ht="12.75">
      <c r="A17">
        <f>A16+1</f>
        <v>3</v>
      </c>
      <c r="B17" s="18">
        <f>$B$7*$B$5</f>
        <v>13.824</v>
      </c>
      <c r="C17" s="18">
        <f>$B$8*$B$5</f>
        <v>11.059199999999999</v>
      </c>
      <c r="E17" s="18"/>
      <c r="F17" s="18">
        <f>-($B$7-$B$8)*$B$5</f>
        <v>-2.7647999999999997</v>
      </c>
      <c r="G17" s="18">
        <f>($B$7-$B$8)*$B$4</f>
        <v>4.608</v>
      </c>
      <c r="H17" s="18">
        <f>G17*1.15</f>
        <v>5.299199999999999</v>
      </c>
    </row>
    <row r="18" spans="1:8" ht="12.75">
      <c r="A18">
        <f>A17+1</f>
        <v>4</v>
      </c>
      <c r="B18" s="18">
        <f>$B$7*$B$5</f>
        <v>13.824</v>
      </c>
      <c r="C18" s="18">
        <f>$B$8*$B$5</f>
        <v>11.059199999999999</v>
      </c>
      <c r="E18" s="18"/>
      <c r="F18" s="18">
        <f>-($B$7-$B$8)*$B$5</f>
        <v>-2.7647999999999997</v>
      </c>
      <c r="G18" s="18">
        <f>($B$7-$B$8)*$B$4</f>
        <v>4.608</v>
      </c>
      <c r="H18" s="18">
        <f>G18*1.15</f>
        <v>5.299199999999999</v>
      </c>
    </row>
    <row r="19" spans="1:8" ht="12.75">
      <c r="A19">
        <f>A18+1</f>
        <v>5</v>
      </c>
      <c r="B19" s="18">
        <f>$B$7*$B$5</f>
        <v>13.824</v>
      </c>
      <c r="C19" s="18">
        <f>$B$8*$B$5</f>
        <v>11.059199999999999</v>
      </c>
      <c r="E19" s="18"/>
      <c r="F19" s="18">
        <f>-($B$7-$B$8)*$B$5</f>
        <v>-2.7647999999999997</v>
      </c>
      <c r="G19" s="18">
        <f>($B$7-$B$8)*$B$4</f>
        <v>4.608</v>
      </c>
      <c r="H19" s="18">
        <f>G19*1.15</f>
        <v>5.299199999999999</v>
      </c>
    </row>
    <row r="20" spans="2:8" ht="12.75">
      <c r="B20" s="18"/>
      <c r="C20" s="18"/>
      <c r="E20" s="18"/>
      <c r="F20" s="18"/>
      <c r="G20" s="18"/>
      <c r="H20" s="18"/>
    </row>
    <row r="21" spans="1:8" ht="12.75">
      <c r="A21" t="s">
        <v>56</v>
      </c>
      <c r="B21" s="18"/>
      <c r="C21" s="18"/>
      <c r="E21" s="18"/>
      <c r="F21" s="18"/>
      <c r="G21" s="18"/>
      <c r="H21" s="18"/>
    </row>
    <row r="22" spans="1:8" ht="12.75">
      <c r="A22" t="s">
        <v>57</v>
      </c>
      <c r="B22" s="24">
        <f>40*67*2</f>
        <v>5360</v>
      </c>
      <c r="C22" s="18" t="s">
        <v>58</v>
      </c>
      <c r="E22" s="18"/>
      <c r="F22" s="18"/>
      <c r="G22" s="18"/>
      <c r="H22" s="18"/>
    </row>
    <row r="23" spans="1:8" ht="12.75">
      <c r="A23" t="s">
        <v>59</v>
      </c>
      <c r="B23" s="24">
        <f>32*90*2</f>
        <v>5760</v>
      </c>
      <c r="C23" s="18" t="s">
        <v>58</v>
      </c>
      <c r="E23" s="18"/>
      <c r="F23" s="18"/>
      <c r="G23" s="18"/>
      <c r="H23" s="18"/>
    </row>
    <row r="24" spans="2:8" ht="12.75">
      <c r="B24" s="18"/>
      <c r="C24" s="18"/>
      <c r="E24" s="18"/>
      <c r="F24" s="18"/>
      <c r="G24" s="18"/>
      <c r="H24" s="18"/>
    </row>
    <row r="25" spans="2:8" ht="12.75">
      <c r="B25" s="18"/>
      <c r="C25" s="18"/>
      <c r="E25" s="18"/>
      <c r="F25" s="18"/>
      <c r="G25" s="18"/>
      <c r="H25" s="18"/>
    </row>
    <row r="26" spans="2:8" ht="12.75">
      <c r="B26" s="18"/>
      <c r="C26" s="18"/>
      <c r="E26" s="18"/>
      <c r="F26" s="18"/>
      <c r="G26" s="18"/>
      <c r="H26" s="18"/>
    </row>
    <row r="27" spans="2:8" ht="12.75">
      <c r="B27" s="18"/>
      <c r="C27" s="18"/>
      <c r="E27" s="18"/>
      <c r="F27" s="18"/>
      <c r="G27" s="18"/>
      <c r="H27" s="18"/>
    </row>
    <row r="28" spans="2:8" ht="12.75">
      <c r="B28" s="18"/>
      <c r="C28" s="18"/>
      <c r="E28" s="18"/>
      <c r="F28" s="18"/>
      <c r="G28" s="18"/>
      <c r="H28" s="18"/>
    </row>
    <row r="29" spans="2:8" ht="12.75">
      <c r="B29" s="18"/>
      <c r="C29" s="18"/>
      <c r="E29" s="18"/>
      <c r="F29" s="18"/>
      <c r="G29" s="18"/>
      <c r="H29" s="18"/>
    </row>
    <row r="30" spans="2:8" ht="12.75">
      <c r="B30" s="18"/>
      <c r="C30" s="18"/>
      <c r="E30" s="18"/>
      <c r="F30" s="18"/>
      <c r="G30" s="18"/>
      <c r="H30" s="18"/>
    </row>
    <row r="31" spans="2:8" ht="12.75">
      <c r="B31" s="18"/>
      <c r="C31" s="18"/>
      <c r="E31" s="18"/>
      <c r="F31" s="18"/>
      <c r="G31" s="18"/>
      <c r="H31" s="18"/>
    </row>
    <row r="32" spans="2:8" ht="12.75">
      <c r="B32" s="18"/>
      <c r="C32" s="18"/>
      <c r="E32" s="18"/>
      <c r="F32" s="18"/>
      <c r="G32" s="18"/>
      <c r="H32" s="18"/>
    </row>
    <row r="33" spans="2:8" ht="12.75">
      <c r="B33" s="18"/>
      <c r="C33" s="18"/>
      <c r="E33" s="18"/>
      <c r="F33" s="18"/>
      <c r="G33" s="18"/>
      <c r="H33" s="18"/>
    </row>
    <row r="34" spans="2:8" ht="12.75">
      <c r="B34" s="18"/>
      <c r="C34" s="18"/>
      <c r="E34" s="18"/>
      <c r="F34" s="18"/>
      <c r="G34" s="18"/>
      <c r="H34" s="18"/>
    </row>
    <row r="35" spans="2:8" ht="12.75">
      <c r="B35" s="18"/>
      <c r="C35" s="18"/>
      <c r="E35" s="18"/>
      <c r="F35" s="18"/>
      <c r="G35" s="18"/>
      <c r="H35" s="18"/>
    </row>
    <row r="36" spans="2:8" ht="12.75">
      <c r="B36" s="18"/>
      <c r="C36" s="18"/>
      <c r="E36" s="18"/>
      <c r="F36" s="18"/>
      <c r="G36" s="18"/>
      <c r="H36" s="18"/>
    </row>
    <row r="37" spans="2:8" ht="12.75">
      <c r="B37" s="18"/>
      <c r="C37" s="18"/>
      <c r="E37" s="18"/>
      <c r="F37" s="18"/>
      <c r="G37" s="18"/>
      <c r="H37" s="18"/>
    </row>
    <row r="38" spans="2:8" ht="12.75">
      <c r="B38" s="18"/>
      <c r="C38" s="18"/>
      <c r="E38" s="18"/>
      <c r="F38" s="18"/>
      <c r="G38" s="18"/>
      <c r="H38" s="18"/>
    </row>
    <row r="39" spans="2:8" ht="12.75">
      <c r="B39" s="18"/>
      <c r="C39" s="18"/>
      <c r="E39" s="18"/>
      <c r="F39" s="18"/>
      <c r="G39" s="18"/>
      <c r="H39" s="1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9.57421875" style="0" customWidth="1"/>
    <col min="5" max="5" width="9.28125" style="0" customWidth="1"/>
    <col min="7" max="7" width="10.00390625" style="0" customWidth="1"/>
    <col min="8" max="8" width="10.57421875" style="0" customWidth="1"/>
  </cols>
  <sheetData>
    <row r="1" ht="12.75">
      <c r="A1" s="3"/>
    </row>
    <row r="2" spans="1:2" ht="12.75">
      <c r="A2" t="s">
        <v>35</v>
      </c>
      <c r="B2" s="16">
        <v>0.12</v>
      </c>
    </row>
    <row r="3" spans="1:2" ht="12.75">
      <c r="A3" t="s">
        <v>36</v>
      </c>
      <c r="B3" s="16">
        <v>0.6</v>
      </c>
    </row>
    <row r="4" spans="1:3" ht="12.75">
      <c r="A4" t="s">
        <v>37</v>
      </c>
      <c r="B4">
        <v>0.15</v>
      </c>
      <c r="C4" t="s">
        <v>38</v>
      </c>
    </row>
    <row r="5" spans="1:3" ht="12.75">
      <c r="A5" t="s">
        <v>39</v>
      </c>
      <c r="B5">
        <v>0.09</v>
      </c>
      <c r="C5" t="s">
        <v>38</v>
      </c>
    </row>
    <row r="6" spans="1:2" ht="12.75">
      <c r="A6" t="s">
        <v>40</v>
      </c>
      <c r="B6" s="16">
        <v>0.15</v>
      </c>
    </row>
    <row r="7" spans="1:3" ht="12.75">
      <c r="A7" t="s">
        <v>41</v>
      </c>
      <c r="B7" s="17">
        <f>100*1920/1000</f>
        <v>192</v>
      </c>
      <c r="C7" t="s">
        <v>42</v>
      </c>
    </row>
    <row r="8" spans="1:3" ht="12.75">
      <c r="A8" t="s">
        <v>43</v>
      </c>
      <c r="B8" s="17">
        <f>20*2*1920/1000</f>
        <v>76.8</v>
      </c>
      <c r="C8" t="s">
        <v>42</v>
      </c>
    </row>
    <row r="9" spans="1:2" ht="12.75">
      <c r="A9" t="s">
        <v>44</v>
      </c>
      <c r="B9" s="18">
        <v>1</v>
      </c>
    </row>
    <row r="10" spans="1:2" ht="12.75">
      <c r="A10" t="s">
        <v>45</v>
      </c>
      <c r="B10" s="18">
        <v>15</v>
      </c>
    </row>
    <row r="11" spans="2:8" ht="12.75">
      <c r="B11" s="20" t="s">
        <v>46</v>
      </c>
      <c r="C11" s="21"/>
      <c r="G11" s="22" t="s">
        <v>47</v>
      </c>
      <c r="H11" s="18">
        <f>E13+F13+H13</f>
        <v>20.259793027086936</v>
      </c>
    </row>
    <row r="12" spans="2:8" ht="25.5" customHeight="1">
      <c r="B12" s="22" t="s">
        <v>48</v>
      </c>
      <c r="C12" s="22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</row>
    <row r="13" spans="1:8" ht="12.75">
      <c r="A13" t="s">
        <v>54</v>
      </c>
      <c r="B13" s="19">
        <f>NPV($B$3,B15:B19)+B14</f>
        <v>28.465771484374997</v>
      </c>
      <c r="C13" s="19">
        <f>NPV($B$3,C15:C19)+C14</f>
        <v>27.505640624999998</v>
      </c>
      <c r="E13" s="18">
        <f>E14</f>
        <v>-14</v>
      </c>
      <c r="F13" s="18">
        <f>NPV($B$2,F15:F19)</f>
        <v>-37.374319665913</v>
      </c>
      <c r="G13" s="18">
        <f>NPV($B$2,G15:G19)</f>
        <v>62.29053277652168</v>
      </c>
      <c r="H13" s="18">
        <f>NPV($B$2,H15:H19)</f>
        <v>71.63411269299993</v>
      </c>
    </row>
    <row r="14" spans="1:8" ht="12.75">
      <c r="A14" t="s">
        <v>55</v>
      </c>
      <c r="B14" s="18">
        <f>$B$9</f>
        <v>1</v>
      </c>
      <c r="C14" s="18">
        <f>$B$10</f>
        <v>15</v>
      </c>
      <c r="E14" s="18">
        <f>B14-C14</f>
        <v>-14</v>
      </c>
      <c r="F14" s="18"/>
      <c r="G14" s="18"/>
      <c r="H14" s="18"/>
    </row>
    <row r="15" spans="1:8" ht="12.75">
      <c r="A15">
        <v>1</v>
      </c>
      <c r="B15" s="18">
        <f>$B$7*$B$5+$B$9</f>
        <v>18.28</v>
      </c>
      <c r="C15" s="18">
        <f>$B$8*$B$5*1.2</f>
        <v>8.2944</v>
      </c>
      <c r="E15" s="18"/>
      <c r="F15" s="18">
        <f>-($B$7-$B$8)*$B$5</f>
        <v>-10.368</v>
      </c>
      <c r="G15" s="18">
        <f>($B$7-$B$8)*$B$4</f>
        <v>17.28</v>
      </c>
      <c r="H15" s="18">
        <f>G15*1.15</f>
        <v>19.872</v>
      </c>
    </row>
    <row r="16" spans="1:8" ht="12.75">
      <c r="A16">
        <f>A15+1</f>
        <v>2</v>
      </c>
      <c r="B16" s="18">
        <f>$B$7*$B$5+$B$9</f>
        <v>18.28</v>
      </c>
      <c r="C16" s="18">
        <f>$C$15</f>
        <v>8.2944</v>
      </c>
      <c r="E16" s="18"/>
      <c r="F16" s="18">
        <f>-($B$7-$B$8)*$B$5</f>
        <v>-10.368</v>
      </c>
      <c r="G16" s="18">
        <f>($B$7-$B$8)*$B$4</f>
        <v>17.28</v>
      </c>
      <c r="H16" s="18">
        <f>G16*1.15</f>
        <v>19.872</v>
      </c>
    </row>
    <row r="17" spans="1:8" ht="12.75">
      <c r="A17">
        <f>A16+1</f>
        <v>3</v>
      </c>
      <c r="B17" s="18">
        <f>$B$7*$B$5+$B$9</f>
        <v>18.28</v>
      </c>
      <c r="C17" s="18">
        <f>$C$15</f>
        <v>8.2944</v>
      </c>
      <c r="E17" s="18"/>
      <c r="F17" s="18">
        <f>-($B$7-$B$8)*$B$5</f>
        <v>-10.368</v>
      </c>
      <c r="G17" s="18">
        <f>($B$7-$B$8)*$B$4</f>
        <v>17.28</v>
      </c>
      <c r="H17" s="18">
        <f>G17*1.15</f>
        <v>19.872</v>
      </c>
    </row>
    <row r="18" spans="1:8" ht="12.75">
      <c r="A18">
        <f>A17+1</f>
        <v>4</v>
      </c>
      <c r="B18" s="18">
        <f>$B$7*$B$5+$B$9</f>
        <v>18.28</v>
      </c>
      <c r="C18" s="18">
        <f>$C$15</f>
        <v>8.2944</v>
      </c>
      <c r="E18" s="18"/>
      <c r="F18" s="18">
        <f>-($B$7-$B$8)*$B$5</f>
        <v>-10.368</v>
      </c>
      <c r="G18" s="18">
        <f>($B$7-$B$8)*$B$4</f>
        <v>17.28</v>
      </c>
      <c r="H18" s="18">
        <f>G18*1.15</f>
        <v>19.872</v>
      </c>
    </row>
    <row r="19" spans="1:8" ht="12.75">
      <c r="A19">
        <f>A18+1</f>
        <v>5</v>
      </c>
      <c r="B19" s="18">
        <f>$B$7*$B$5</f>
        <v>17.28</v>
      </c>
      <c r="C19" s="18">
        <f>$C$15</f>
        <v>8.2944</v>
      </c>
      <c r="E19" s="18"/>
      <c r="F19" s="18">
        <f>-($B$7-$B$8)*$B$5</f>
        <v>-10.368</v>
      </c>
      <c r="G19" s="18">
        <f>($B$7-$B$8)*$B$4</f>
        <v>17.28</v>
      </c>
      <c r="H19" s="18">
        <f>G19*1.15</f>
        <v>19.872</v>
      </c>
    </row>
    <row r="20" spans="2:8" ht="12.75">
      <c r="B20" s="18"/>
      <c r="C20" s="18"/>
      <c r="E20" s="18"/>
      <c r="F20" s="18"/>
      <c r="G20" s="18"/>
      <c r="H20" s="18"/>
    </row>
    <row r="21" spans="1:8" ht="12.75">
      <c r="A21" t="s">
        <v>56</v>
      </c>
      <c r="B21" s="18"/>
      <c r="C21" s="18"/>
      <c r="E21" s="18"/>
      <c r="F21" s="18"/>
      <c r="G21" s="18"/>
      <c r="H21" s="18"/>
    </row>
    <row r="22" spans="1:8" ht="12.75">
      <c r="A22" t="s">
        <v>57</v>
      </c>
      <c r="B22" s="24">
        <f>100*14</f>
        <v>1400</v>
      </c>
      <c r="C22" s="18" t="s">
        <v>58</v>
      </c>
      <c r="E22" s="18"/>
      <c r="F22" s="18"/>
      <c r="G22" s="18"/>
      <c r="H22" s="18"/>
    </row>
    <row r="23" spans="1:8" ht="12.75">
      <c r="A23" t="s">
        <v>59</v>
      </c>
      <c r="B23" s="24">
        <f>20*67*2</f>
        <v>2680</v>
      </c>
      <c r="C23" s="18" t="s">
        <v>58</v>
      </c>
      <c r="E23" s="18"/>
      <c r="F23" s="18"/>
      <c r="G23" s="18"/>
      <c r="H23" s="18"/>
    </row>
    <row r="24" spans="2:8" ht="12.75">
      <c r="B24" s="18"/>
      <c r="C24" s="18"/>
      <c r="E24" s="18"/>
      <c r="F24" s="18"/>
      <c r="G24" s="18"/>
      <c r="H24" s="18"/>
    </row>
    <row r="25" spans="2:8" ht="12.75">
      <c r="B25" s="18"/>
      <c r="C25" s="18"/>
      <c r="E25" s="18"/>
      <c r="F25" s="18"/>
      <c r="G25" s="18"/>
      <c r="H25" s="18"/>
    </row>
    <row r="26" spans="2:8" ht="12.75">
      <c r="B26" s="18"/>
      <c r="C26" s="18"/>
      <c r="E26" s="18"/>
      <c r="F26" s="18"/>
      <c r="G26" s="18"/>
      <c r="H26" s="18"/>
    </row>
    <row r="27" spans="2:8" ht="12.75">
      <c r="B27" s="18"/>
      <c r="C27" s="18"/>
      <c r="E27" s="18"/>
      <c r="F27" s="18"/>
      <c r="G27" s="18"/>
      <c r="H27" s="18"/>
    </row>
    <row r="28" spans="2:8" ht="12.75">
      <c r="B28" s="18"/>
      <c r="C28" s="18"/>
      <c r="E28" s="18"/>
      <c r="F28" s="18"/>
      <c r="G28" s="18"/>
      <c r="H28" s="18"/>
    </row>
    <row r="29" spans="2:8" ht="12.75">
      <c r="B29" s="18"/>
      <c r="C29" s="18"/>
      <c r="E29" s="18"/>
      <c r="F29" s="18"/>
      <c r="G29" s="18"/>
      <c r="H29" s="18"/>
    </row>
    <row r="30" spans="2:8" ht="12.75">
      <c r="B30" s="18"/>
      <c r="C30" s="18"/>
      <c r="E30" s="18"/>
      <c r="F30" s="18"/>
      <c r="G30" s="18"/>
      <c r="H30" s="18"/>
    </row>
    <row r="31" spans="2:8" ht="12.75">
      <c r="B31" s="18"/>
      <c r="C31" s="18"/>
      <c r="E31" s="18"/>
      <c r="F31" s="18"/>
      <c r="G31" s="18"/>
      <c r="H31" s="18"/>
    </row>
    <row r="32" spans="2:8" ht="12.75">
      <c r="B32" s="18"/>
      <c r="C32" s="18"/>
      <c r="E32" s="18"/>
      <c r="F32" s="18"/>
      <c r="G32" s="18"/>
      <c r="H32" s="18"/>
    </row>
    <row r="33" spans="2:8" ht="12.75">
      <c r="B33" s="18"/>
      <c r="C33" s="18"/>
      <c r="E33" s="18"/>
      <c r="F33" s="18"/>
      <c r="G33" s="18"/>
      <c r="H33" s="18"/>
    </row>
    <row r="34" spans="2:8" ht="12.75">
      <c r="B34" s="18"/>
      <c r="C34" s="18"/>
      <c r="E34" s="18"/>
      <c r="F34" s="18"/>
      <c r="G34" s="18"/>
      <c r="H34" s="18"/>
    </row>
    <row r="35" spans="2:8" ht="12.75">
      <c r="B35" s="18"/>
      <c r="C35" s="18"/>
      <c r="E35" s="18"/>
      <c r="F35" s="18"/>
      <c r="G35" s="18"/>
      <c r="H35" s="18"/>
    </row>
    <row r="36" spans="2:8" ht="12.75">
      <c r="B36" s="18"/>
      <c r="C36" s="18"/>
      <c r="E36" s="18"/>
      <c r="F36" s="18"/>
      <c r="G36" s="18"/>
      <c r="H36" s="18"/>
    </row>
    <row r="37" spans="2:8" ht="12.75">
      <c r="B37" s="18"/>
      <c r="C37" s="18"/>
      <c r="E37" s="18"/>
      <c r="F37" s="18"/>
      <c r="G37" s="18"/>
      <c r="H37" s="18"/>
    </row>
    <row r="38" spans="2:8" ht="12.75">
      <c r="B38" s="18"/>
      <c r="C38" s="18"/>
      <c r="E38" s="18"/>
      <c r="F38" s="18"/>
      <c r="G38" s="18"/>
      <c r="H38" s="18"/>
    </row>
    <row r="39" spans="2:8" ht="12.75">
      <c r="B39" s="18"/>
      <c r="C39" s="18"/>
      <c r="E39" s="18"/>
      <c r="F39" s="18"/>
      <c r="G39" s="18"/>
      <c r="H39" s="1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4">
      <selection activeCell="A4" sqref="A4"/>
    </sheetView>
  </sheetViews>
  <sheetFormatPr defaultColWidth="9.140625" defaultRowHeight="12.75"/>
  <cols>
    <col min="1" max="1" width="19.28125" style="0" customWidth="1"/>
    <col min="2" max="2" width="11.140625" style="0" customWidth="1"/>
    <col min="5" max="5" width="9.28125" style="0" customWidth="1"/>
    <col min="6" max="6" width="10.57421875" style="0" customWidth="1"/>
    <col min="7" max="7" width="10.00390625" style="0" customWidth="1"/>
    <col min="8" max="8" width="11.421875" style="0" customWidth="1"/>
  </cols>
  <sheetData>
    <row r="1" ht="12.75">
      <c r="A1" s="3" t="s">
        <v>60</v>
      </c>
    </row>
    <row r="2" spans="1:2" ht="12.75">
      <c r="A2" t="s">
        <v>35</v>
      </c>
      <c r="B2" s="16">
        <v>0.12</v>
      </c>
    </row>
    <row r="3" spans="1:2" ht="12.75">
      <c r="A3" t="s">
        <v>36</v>
      </c>
      <c r="B3" s="16">
        <v>0.3</v>
      </c>
    </row>
    <row r="4" spans="1:3" ht="12.75">
      <c r="A4" t="s">
        <v>37</v>
      </c>
      <c r="B4">
        <v>0.11</v>
      </c>
      <c r="C4" t="s">
        <v>38</v>
      </c>
    </row>
    <row r="5" spans="1:3" ht="12.75">
      <c r="A5" t="s">
        <v>39</v>
      </c>
      <c r="B5">
        <v>0.07</v>
      </c>
      <c r="C5" t="s">
        <v>38</v>
      </c>
    </row>
    <row r="6" spans="1:2" ht="12.75">
      <c r="A6" t="s">
        <v>40</v>
      </c>
      <c r="B6" s="16">
        <v>0.15</v>
      </c>
    </row>
    <row r="7" spans="1:3" ht="12.75">
      <c r="A7" t="s">
        <v>41</v>
      </c>
      <c r="B7" s="24">
        <v>500000</v>
      </c>
      <c r="C7" t="s">
        <v>42</v>
      </c>
    </row>
    <row r="8" spans="1:3" ht="12.75">
      <c r="A8" t="s">
        <v>43</v>
      </c>
      <c r="B8" s="24">
        <v>437000</v>
      </c>
      <c r="C8" t="s">
        <v>42</v>
      </c>
    </row>
    <row r="9" spans="1:2" ht="12.75">
      <c r="A9" t="s">
        <v>44</v>
      </c>
      <c r="B9" s="25">
        <v>60000</v>
      </c>
    </row>
    <row r="10" spans="1:2" ht="12.75">
      <c r="A10" t="s">
        <v>45</v>
      </c>
      <c r="B10" s="25">
        <v>75000</v>
      </c>
    </row>
    <row r="11" spans="2:8" ht="12.75">
      <c r="B11" s="20" t="s">
        <v>46</v>
      </c>
      <c r="C11" s="21"/>
      <c r="G11" s="22" t="s">
        <v>47</v>
      </c>
      <c r="H11" s="25">
        <f>E13+F13+H13</f>
        <v>6883.307604651061</v>
      </c>
    </row>
    <row r="12" spans="2:8" ht="25.5" customHeight="1">
      <c r="B12" s="22" t="s">
        <v>48</v>
      </c>
      <c r="C12" s="22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</row>
    <row r="13" spans="1:8" ht="12.75">
      <c r="A13" t="s">
        <v>54</v>
      </c>
      <c r="B13" s="24">
        <f>NPV($B$3,B15:B29)+B14</f>
        <v>174387.39283169515</v>
      </c>
      <c r="C13" s="24">
        <f>NPV($B$3,C15:C29)+C14</f>
        <v>174974.58133490157</v>
      </c>
      <c r="D13" s="24"/>
      <c r="E13" s="24">
        <f>E14</f>
        <v>-15000</v>
      </c>
      <c r="F13" s="24">
        <f>NPV($B$2,F15:F29)</f>
        <v>-30035.912398540655</v>
      </c>
      <c r="G13" s="24">
        <f>NPV($B$2,G15:G29)</f>
        <v>47199.29091199245</v>
      </c>
      <c r="H13" s="24">
        <f>NPV($B$2,H15:H29)</f>
        <v>51919.22000319172</v>
      </c>
    </row>
    <row r="14" spans="1:8" ht="12.75">
      <c r="A14" t="s">
        <v>55</v>
      </c>
      <c r="B14" s="24">
        <f>$B$9</f>
        <v>60000</v>
      </c>
      <c r="C14" s="24">
        <f>$B$10</f>
        <v>75000</v>
      </c>
      <c r="D14" s="24"/>
      <c r="E14" s="24">
        <f>B14-C14</f>
        <v>-15000</v>
      </c>
      <c r="F14" s="24"/>
      <c r="G14" s="24"/>
      <c r="H14" s="24"/>
    </row>
    <row r="15" spans="1:8" ht="12.75">
      <c r="A15">
        <v>1</v>
      </c>
      <c r="B15" s="24">
        <f aca="true" t="shared" si="0" ref="B15:B29">$B$7*$B$5</f>
        <v>35000</v>
      </c>
      <c r="C15" s="24">
        <f aca="true" t="shared" si="1" ref="C15:C29">$B$8*$B$5</f>
        <v>30590.000000000004</v>
      </c>
      <c r="D15" s="24"/>
      <c r="E15" s="24"/>
      <c r="F15" s="24">
        <f aca="true" t="shared" si="2" ref="F15:F29">-($B$7-$B$8)*$B$5</f>
        <v>-4410</v>
      </c>
      <c r="G15" s="24">
        <f aca="true" t="shared" si="3" ref="G15:G29">($B$7-$B$8)*$B$4</f>
        <v>6930</v>
      </c>
      <c r="H15" s="24">
        <f>G15*1.1</f>
        <v>7623.000000000001</v>
      </c>
    </row>
    <row r="16" spans="1:8" ht="12.75">
      <c r="A16">
        <f aca="true" t="shared" si="4" ref="A16:A29">A15+1</f>
        <v>2</v>
      </c>
      <c r="B16" s="24">
        <f t="shared" si="0"/>
        <v>35000</v>
      </c>
      <c r="C16" s="24">
        <f t="shared" si="1"/>
        <v>30590.000000000004</v>
      </c>
      <c r="D16" s="24"/>
      <c r="E16" s="24"/>
      <c r="F16" s="24">
        <f t="shared" si="2"/>
        <v>-4410</v>
      </c>
      <c r="G16" s="24">
        <f t="shared" si="3"/>
        <v>6930</v>
      </c>
      <c r="H16" s="24">
        <f aca="true" t="shared" si="5" ref="H16:H29">G16*1.1</f>
        <v>7623.000000000001</v>
      </c>
    </row>
    <row r="17" spans="1:8" ht="12.75">
      <c r="A17">
        <f t="shared" si="4"/>
        <v>3</v>
      </c>
      <c r="B17" s="24">
        <f t="shared" si="0"/>
        <v>35000</v>
      </c>
      <c r="C17" s="24">
        <f t="shared" si="1"/>
        <v>30590.000000000004</v>
      </c>
      <c r="D17" s="24"/>
      <c r="E17" s="24"/>
      <c r="F17" s="24">
        <f t="shared" si="2"/>
        <v>-4410</v>
      </c>
      <c r="G17" s="24">
        <f t="shared" si="3"/>
        <v>6930</v>
      </c>
      <c r="H17" s="24">
        <f t="shared" si="5"/>
        <v>7623.000000000001</v>
      </c>
    </row>
    <row r="18" spans="1:8" ht="12.75">
      <c r="A18">
        <f t="shared" si="4"/>
        <v>4</v>
      </c>
      <c r="B18" s="24">
        <f t="shared" si="0"/>
        <v>35000</v>
      </c>
      <c r="C18" s="24">
        <f t="shared" si="1"/>
        <v>30590.000000000004</v>
      </c>
      <c r="D18" s="24"/>
      <c r="E18" s="24"/>
      <c r="F18" s="24">
        <f t="shared" si="2"/>
        <v>-4410</v>
      </c>
      <c r="G18" s="24">
        <f t="shared" si="3"/>
        <v>6930</v>
      </c>
      <c r="H18" s="24">
        <f t="shared" si="5"/>
        <v>7623.000000000001</v>
      </c>
    </row>
    <row r="19" spans="1:8" ht="12.75">
      <c r="A19">
        <f t="shared" si="4"/>
        <v>5</v>
      </c>
      <c r="B19" s="24">
        <f t="shared" si="0"/>
        <v>35000</v>
      </c>
      <c r="C19" s="24">
        <f t="shared" si="1"/>
        <v>30590.000000000004</v>
      </c>
      <c r="D19" s="24"/>
      <c r="E19" s="24"/>
      <c r="F19" s="24">
        <f t="shared" si="2"/>
        <v>-4410</v>
      </c>
      <c r="G19" s="24">
        <f t="shared" si="3"/>
        <v>6930</v>
      </c>
      <c r="H19" s="24">
        <f t="shared" si="5"/>
        <v>7623.000000000001</v>
      </c>
    </row>
    <row r="20" spans="1:8" ht="12.75">
      <c r="A20">
        <f t="shared" si="4"/>
        <v>6</v>
      </c>
      <c r="B20" s="24">
        <f t="shared" si="0"/>
        <v>35000</v>
      </c>
      <c r="C20" s="24">
        <f t="shared" si="1"/>
        <v>30590.000000000004</v>
      </c>
      <c r="D20" s="24"/>
      <c r="E20" s="24"/>
      <c r="F20" s="24">
        <f t="shared" si="2"/>
        <v>-4410</v>
      </c>
      <c r="G20" s="24">
        <f t="shared" si="3"/>
        <v>6930</v>
      </c>
      <c r="H20" s="24">
        <f t="shared" si="5"/>
        <v>7623.000000000001</v>
      </c>
    </row>
    <row r="21" spans="1:8" ht="12.75">
      <c r="A21">
        <f t="shared" si="4"/>
        <v>7</v>
      </c>
      <c r="B21" s="24">
        <f t="shared" si="0"/>
        <v>35000</v>
      </c>
      <c r="C21" s="24">
        <f t="shared" si="1"/>
        <v>30590.000000000004</v>
      </c>
      <c r="D21" s="24"/>
      <c r="E21" s="24"/>
      <c r="F21" s="24">
        <f t="shared" si="2"/>
        <v>-4410</v>
      </c>
      <c r="G21" s="24">
        <f t="shared" si="3"/>
        <v>6930</v>
      </c>
      <c r="H21" s="24">
        <f t="shared" si="5"/>
        <v>7623.000000000001</v>
      </c>
    </row>
    <row r="22" spans="1:8" ht="12.75">
      <c r="A22">
        <f t="shared" si="4"/>
        <v>8</v>
      </c>
      <c r="B22" s="24">
        <f t="shared" si="0"/>
        <v>35000</v>
      </c>
      <c r="C22" s="24">
        <f t="shared" si="1"/>
        <v>30590.000000000004</v>
      </c>
      <c r="D22" s="24"/>
      <c r="E22" s="24"/>
      <c r="F22" s="24">
        <f t="shared" si="2"/>
        <v>-4410</v>
      </c>
      <c r="G22" s="24">
        <f t="shared" si="3"/>
        <v>6930</v>
      </c>
      <c r="H22" s="24">
        <f t="shared" si="5"/>
        <v>7623.000000000001</v>
      </c>
    </row>
    <row r="23" spans="1:8" ht="12.75">
      <c r="A23">
        <f t="shared" si="4"/>
        <v>9</v>
      </c>
      <c r="B23" s="24">
        <f t="shared" si="0"/>
        <v>35000</v>
      </c>
      <c r="C23" s="24">
        <f t="shared" si="1"/>
        <v>30590.000000000004</v>
      </c>
      <c r="D23" s="24"/>
      <c r="E23" s="24"/>
      <c r="F23" s="24">
        <f t="shared" si="2"/>
        <v>-4410</v>
      </c>
      <c r="G23" s="24">
        <f t="shared" si="3"/>
        <v>6930</v>
      </c>
      <c r="H23" s="24">
        <f t="shared" si="5"/>
        <v>7623.000000000001</v>
      </c>
    </row>
    <row r="24" spans="1:8" ht="12.75">
      <c r="A24">
        <f t="shared" si="4"/>
        <v>10</v>
      </c>
      <c r="B24" s="24">
        <f t="shared" si="0"/>
        <v>35000</v>
      </c>
      <c r="C24" s="24">
        <f t="shared" si="1"/>
        <v>30590.000000000004</v>
      </c>
      <c r="D24" s="24"/>
      <c r="E24" s="24"/>
      <c r="F24" s="24">
        <f t="shared" si="2"/>
        <v>-4410</v>
      </c>
      <c r="G24" s="24">
        <f t="shared" si="3"/>
        <v>6930</v>
      </c>
      <c r="H24" s="24">
        <f t="shared" si="5"/>
        <v>7623.000000000001</v>
      </c>
    </row>
    <row r="25" spans="1:8" ht="12.75">
      <c r="A25">
        <f t="shared" si="4"/>
        <v>11</v>
      </c>
      <c r="B25" s="24">
        <f t="shared" si="0"/>
        <v>35000</v>
      </c>
      <c r="C25" s="24">
        <f t="shared" si="1"/>
        <v>30590.000000000004</v>
      </c>
      <c r="D25" s="24"/>
      <c r="E25" s="24"/>
      <c r="F25" s="24">
        <f t="shared" si="2"/>
        <v>-4410</v>
      </c>
      <c r="G25" s="24">
        <f t="shared" si="3"/>
        <v>6930</v>
      </c>
      <c r="H25" s="24">
        <f t="shared" si="5"/>
        <v>7623.000000000001</v>
      </c>
    </row>
    <row r="26" spans="1:8" ht="12.75">
      <c r="A26">
        <f t="shared" si="4"/>
        <v>12</v>
      </c>
      <c r="B26" s="24">
        <f t="shared" si="0"/>
        <v>35000</v>
      </c>
      <c r="C26" s="24">
        <f t="shared" si="1"/>
        <v>30590.000000000004</v>
      </c>
      <c r="D26" s="24"/>
      <c r="E26" s="24"/>
      <c r="F26" s="24">
        <f t="shared" si="2"/>
        <v>-4410</v>
      </c>
      <c r="G26" s="24">
        <f t="shared" si="3"/>
        <v>6930</v>
      </c>
      <c r="H26" s="24">
        <f t="shared" si="5"/>
        <v>7623.000000000001</v>
      </c>
    </row>
    <row r="27" spans="1:8" ht="12.75">
      <c r="A27">
        <f t="shared" si="4"/>
        <v>13</v>
      </c>
      <c r="B27" s="24">
        <f t="shared" si="0"/>
        <v>35000</v>
      </c>
      <c r="C27" s="24">
        <f t="shared" si="1"/>
        <v>30590.000000000004</v>
      </c>
      <c r="D27" s="24"/>
      <c r="E27" s="24"/>
      <c r="F27" s="24">
        <f t="shared" si="2"/>
        <v>-4410</v>
      </c>
      <c r="G27" s="24">
        <f t="shared" si="3"/>
        <v>6930</v>
      </c>
      <c r="H27" s="24">
        <f t="shared" si="5"/>
        <v>7623.000000000001</v>
      </c>
    </row>
    <row r="28" spans="1:8" ht="12.75">
      <c r="A28">
        <f t="shared" si="4"/>
        <v>14</v>
      </c>
      <c r="B28" s="24">
        <f t="shared" si="0"/>
        <v>35000</v>
      </c>
      <c r="C28" s="24">
        <f t="shared" si="1"/>
        <v>30590.000000000004</v>
      </c>
      <c r="D28" s="24"/>
      <c r="E28" s="24"/>
      <c r="F28" s="24">
        <f t="shared" si="2"/>
        <v>-4410</v>
      </c>
      <c r="G28" s="24">
        <f t="shared" si="3"/>
        <v>6930</v>
      </c>
      <c r="H28" s="24">
        <f t="shared" si="5"/>
        <v>7623.000000000001</v>
      </c>
    </row>
    <row r="29" spans="1:8" ht="12.75">
      <c r="A29">
        <f t="shared" si="4"/>
        <v>15</v>
      </c>
      <c r="B29" s="24">
        <f t="shared" si="0"/>
        <v>35000</v>
      </c>
      <c r="C29" s="24">
        <f t="shared" si="1"/>
        <v>30590.000000000004</v>
      </c>
      <c r="D29" s="24"/>
      <c r="E29" s="24"/>
      <c r="F29" s="24">
        <f t="shared" si="2"/>
        <v>-4410</v>
      </c>
      <c r="G29" s="24">
        <f t="shared" si="3"/>
        <v>6930</v>
      </c>
      <c r="H29" s="24">
        <f t="shared" si="5"/>
        <v>7623.000000000001</v>
      </c>
    </row>
    <row r="30" spans="2:8" ht="12.75">
      <c r="B30" s="24"/>
      <c r="C30" s="24"/>
      <c r="D30" s="24"/>
      <c r="E30" s="24"/>
      <c r="F30" s="24"/>
      <c r="G30" s="24"/>
      <c r="H30" s="24"/>
    </row>
    <row r="31" spans="2:8" ht="12.75">
      <c r="B31" s="24"/>
      <c r="C31" s="24"/>
      <c r="D31" s="24"/>
      <c r="E31" s="24"/>
      <c r="F31" s="24"/>
      <c r="G31" s="24"/>
      <c r="H31" s="24"/>
    </row>
    <row r="32" spans="2:8" ht="12.75">
      <c r="B32" s="24"/>
      <c r="C32" s="24"/>
      <c r="D32" s="24"/>
      <c r="E32" s="24"/>
      <c r="F32" s="24"/>
      <c r="G32" s="24"/>
      <c r="H32" s="24"/>
    </row>
    <row r="33" spans="2:8" ht="12.75">
      <c r="B33" s="24"/>
      <c r="C33" s="24"/>
      <c r="D33" s="24"/>
      <c r="E33" s="24"/>
      <c r="F33" s="24"/>
      <c r="G33" s="24"/>
      <c r="H33" s="24"/>
    </row>
    <row r="34" spans="2:8" ht="12.75">
      <c r="B34" s="24"/>
      <c r="C34" s="24"/>
      <c r="D34" s="24"/>
      <c r="E34" s="24"/>
      <c r="F34" s="24"/>
      <c r="G34" s="24"/>
      <c r="H34" s="24"/>
    </row>
    <row r="35" spans="2:8" ht="12.75">
      <c r="B35" s="24"/>
      <c r="C35" s="24"/>
      <c r="D35" s="24"/>
      <c r="E35" s="24"/>
      <c r="F35" s="24"/>
      <c r="G35" s="24"/>
      <c r="H35" s="24"/>
    </row>
    <row r="36" spans="2:8" ht="12.75">
      <c r="B36" s="24"/>
      <c r="C36" s="24"/>
      <c r="D36" s="24"/>
      <c r="E36" s="24"/>
      <c r="F36" s="24"/>
      <c r="G36" s="24"/>
      <c r="H36" s="24"/>
    </row>
    <row r="37" spans="2:8" ht="12.75">
      <c r="B37" s="24"/>
      <c r="C37" s="24"/>
      <c r="D37" s="24"/>
      <c r="E37" s="24"/>
      <c r="F37" s="24"/>
      <c r="G37" s="24"/>
      <c r="H37" s="24"/>
    </row>
    <row r="38" spans="2:8" ht="12.75">
      <c r="B38" s="24"/>
      <c r="C38" s="24"/>
      <c r="D38" s="24"/>
      <c r="E38" s="24"/>
      <c r="F38" s="24"/>
      <c r="G38" s="24"/>
      <c r="H38" s="24"/>
    </row>
    <row r="39" spans="2:8" ht="12.75">
      <c r="B39" s="24"/>
      <c r="C39" s="24"/>
      <c r="D39" s="24"/>
      <c r="E39" s="24"/>
      <c r="F39" s="24"/>
      <c r="G39" s="24"/>
      <c r="H39" s="2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3" width="10.7109375" style="0" customWidth="1"/>
    <col min="4" max="4" width="11.421875" style="0" customWidth="1"/>
    <col min="5" max="5" width="10.7109375" style="0" customWidth="1"/>
  </cols>
  <sheetData>
    <row r="1" spans="1:5" ht="38.25">
      <c r="A1" s="26" t="s">
        <v>61</v>
      </c>
      <c r="B1" s="27" t="s">
        <v>62</v>
      </c>
      <c r="C1" s="27" t="s">
        <v>63</v>
      </c>
      <c r="D1" s="27" t="s">
        <v>64</v>
      </c>
      <c r="E1" s="28" t="s">
        <v>65</v>
      </c>
    </row>
    <row r="2" spans="1:5" ht="12.75">
      <c r="A2" s="29" t="s">
        <v>66</v>
      </c>
      <c r="B2" s="30">
        <v>0.39735</v>
      </c>
      <c r="C2" s="30">
        <f>B2</f>
        <v>0.39735</v>
      </c>
      <c r="D2" s="30">
        <f>B2</f>
        <v>0.39735</v>
      </c>
      <c r="E2" s="31"/>
    </row>
    <row r="3" spans="1:5" ht="12.75">
      <c r="A3" s="29" t="s">
        <v>54</v>
      </c>
      <c r="B3" s="32">
        <f>B4</f>
        <v>1</v>
      </c>
      <c r="C3" s="32">
        <f>NPV(C2,C5:C9)</f>
        <v>16.35426287628318</v>
      </c>
      <c r="D3" s="32">
        <f>NPV(D2,D5:D8)</f>
        <v>1.8565786537717874</v>
      </c>
      <c r="E3" s="33">
        <f>SUM(B3:D3)</f>
        <v>19.210841530054967</v>
      </c>
    </row>
    <row r="4" spans="1:5" ht="12.75">
      <c r="A4" s="29" t="s">
        <v>67</v>
      </c>
      <c r="B4" s="34">
        <v>1</v>
      </c>
      <c r="C4" s="32"/>
      <c r="D4" s="32"/>
      <c r="E4" s="35"/>
    </row>
    <row r="5" spans="1:5" ht="12.75">
      <c r="A5" s="29" t="s">
        <v>68</v>
      </c>
      <c r="B5" s="32"/>
      <c r="C5" s="34">
        <f>100*1000/1000000*80</f>
        <v>8</v>
      </c>
      <c r="D5" s="34">
        <v>1</v>
      </c>
      <c r="E5" s="35"/>
    </row>
    <row r="6" spans="1:5" ht="12.75">
      <c r="A6" s="29" t="s">
        <v>69</v>
      </c>
      <c r="B6" s="32"/>
      <c r="C6" s="34">
        <f>100*1000/1000000*80</f>
        <v>8</v>
      </c>
      <c r="D6" s="34">
        <v>1</v>
      </c>
      <c r="E6" s="35"/>
    </row>
    <row r="7" spans="1:5" ht="12.75">
      <c r="A7" s="29" t="s">
        <v>70</v>
      </c>
      <c r="B7" s="32"/>
      <c r="C7" s="34">
        <f>100*1000/1000000*80</f>
        <v>8</v>
      </c>
      <c r="D7" s="34">
        <v>1</v>
      </c>
      <c r="E7" s="35"/>
    </row>
    <row r="8" spans="1:5" ht="12.75">
      <c r="A8" s="29" t="s">
        <v>71</v>
      </c>
      <c r="B8" s="32"/>
      <c r="C8" s="34">
        <f>100*1000/1000000*80</f>
        <v>8</v>
      </c>
      <c r="D8" s="34">
        <v>1</v>
      </c>
      <c r="E8" s="35"/>
    </row>
    <row r="9" spans="1:5" ht="12.75">
      <c r="A9" s="29" t="s">
        <v>72</v>
      </c>
      <c r="B9" s="32"/>
      <c r="C9" s="34">
        <f>100*1000/1000000*80</f>
        <v>8</v>
      </c>
      <c r="D9" s="32"/>
      <c r="E9" s="35"/>
    </row>
    <row r="10" spans="1:5" ht="12.75">
      <c r="A10" s="36"/>
      <c r="B10" s="37"/>
      <c r="C10" s="37"/>
      <c r="D10" s="37"/>
      <c r="E10" s="38"/>
    </row>
    <row r="11" spans="1:5" ht="12.75">
      <c r="A11" s="39" t="s">
        <v>73</v>
      </c>
      <c r="B11" s="37"/>
      <c r="C11" s="37"/>
      <c r="D11" s="37"/>
      <c r="E11" s="38"/>
    </row>
    <row r="12" spans="1:5" ht="12.75">
      <c r="A12" s="29" t="s">
        <v>66</v>
      </c>
      <c r="B12" s="30">
        <f>B2</f>
        <v>0.39735</v>
      </c>
      <c r="C12" s="30">
        <f>B12</f>
        <v>0.39735</v>
      </c>
      <c r="D12" s="30">
        <f>B12</f>
        <v>0.39735</v>
      </c>
      <c r="E12" s="31"/>
    </row>
    <row r="13" spans="1:5" ht="12.75">
      <c r="A13" s="29" t="s">
        <v>54</v>
      </c>
      <c r="B13" s="32">
        <f>B14</f>
        <v>15.94</v>
      </c>
      <c r="C13" s="32">
        <f>NPV(C12,C15:C19)</f>
        <v>3.270852575256636</v>
      </c>
      <c r="D13" s="32">
        <f>NPV(D12,D15:D18)</f>
        <v>0</v>
      </c>
      <c r="E13" s="33">
        <f>SUM(B13:D13)</f>
        <v>19.210852575256634</v>
      </c>
    </row>
    <row r="14" spans="1:5" ht="12.75">
      <c r="A14" s="29" t="s">
        <v>67</v>
      </c>
      <c r="B14" s="34">
        <v>15.94</v>
      </c>
      <c r="C14" s="32"/>
      <c r="D14" s="32"/>
      <c r="E14" s="35"/>
    </row>
    <row r="15" spans="1:5" ht="12.75">
      <c r="A15" s="29" t="s">
        <v>68</v>
      </c>
      <c r="B15" s="32"/>
      <c r="C15" s="34">
        <f>20*1000/1000000*80</f>
        <v>1.6</v>
      </c>
      <c r="D15" s="34">
        <v>0</v>
      </c>
      <c r="E15" s="35"/>
    </row>
    <row r="16" spans="1:5" ht="12.75">
      <c r="A16" s="29" t="s">
        <v>69</v>
      </c>
      <c r="B16" s="32"/>
      <c r="C16" s="34">
        <f>20*1000/1000000*80</f>
        <v>1.6</v>
      </c>
      <c r="D16" s="34">
        <v>0</v>
      </c>
      <c r="E16" s="35"/>
    </row>
    <row r="17" spans="1:5" ht="12.75">
      <c r="A17" s="29" t="s">
        <v>70</v>
      </c>
      <c r="B17" s="32"/>
      <c r="C17" s="34">
        <f>20*1000/1000000*80</f>
        <v>1.6</v>
      </c>
      <c r="D17" s="34">
        <v>0</v>
      </c>
      <c r="E17" s="35"/>
    </row>
    <row r="18" spans="1:5" ht="12.75">
      <c r="A18" s="29" t="s">
        <v>71</v>
      </c>
      <c r="B18" s="32"/>
      <c r="C18" s="34">
        <f>20*1000/1000000*80</f>
        <v>1.6</v>
      </c>
      <c r="D18" s="34">
        <v>0</v>
      </c>
      <c r="E18" s="35"/>
    </row>
    <row r="19" spans="1:5" ht="13.5" thickBot="1">
      <c r="A19" s="40" t="s">
        <v>72</v>
      </c>
      <c r="B19" s="41"/>
      <c r="C19" s="42">
        <f>20*1000/1000000*80</f>
        <v>1.6</v>
      </c>
      <c r="D19" s="41"/>
      <c r="E19" s="43"/>
    </row>
    <row r="21" ht="13.5" thickBot="1"/>
    <row r="22" spans="1:5" ht="38.25">
      <c r="A22" s="26" t="s">
        <v>61</v>
      </c>
      <c r="B22" s="27" t="s">
        <v>62</v>
      </c>
      <c r="C22" s="27" t="s">
        <v>63</v>
      </c>
      <c r="D22" s="27" t="s">
        <v>64</v>
      </c>
      <c r="E22" s="28" t="s">
        <v>65</v>
      </c>
    </row>
    <row r="23" spans="1:5" ht="12.75">
      <c r="A23" s="29" t="s">
        <v>66</v>
      </c>
      <c r="B23" s="30">
        <v>0.05556</v>
      </c>
      <c r="C23" s="30">
        <f>B23</f>
        <v>0.05556</v>
      </c>
      <c r="D23" s="30">
        <f>B23</f>
        <v>0.05556</v>
      </c>
      <c r="E23" s="31"/>
    </row>
    <row r="24" spans="1:5" ht="12.75">
      <c r="A24" s="29" t="s">
        <v>54</v>
      </c>
      <c r="B24" s="32">
        <f>B25</f>
        <v>1</v>
      </c>
      <c r="C24" s="32">
        <f>NPV(C23,C26:C30)</f>
        <v>34.10987829944074</v>
      </c>
      <c r="D24" s="32">
        <f>NPV(D23,D26:D29)</f>
        <v>3.5006278922197085</v>
      </c>
      <c r="E24" s="33">
        <f>SUM(B24:D24)</f>
        <v>38.61050619166045</v>
      </c>
    </row>
    <row r="25" spans="1:5" ht="12.75">
      <c r="A25" s="29" t="s">
        <v>67</v>
      </c>
      <c r="B25" s="34">
        <v>1</v>
      </c>
      <c r="C25" s="32"/>
      <c r="D25" s="32"/>
      <c r="E25" s="35"/>
    </row>
    <row r="26" spans="1:5" ht="12.75">
      <c r="A26" s="29" t="s">
        <v>68</v>
      </c>
      <c r="B26" s="32"/>
      <c r="C26" s="34">
        <f>100*1000/1000000*80</f>
        <v>8</v>
      </c>
      <c r="D26" s="34">
        <v>1</v>
      </c>
      <c r="E26" s="35"/>
    </row>
    <row r="27" spans="1:5" ht="12.75">
      <c r="A27" s="29" t="s">
        <v>69</v>
      </c>
      <c r="B27" s="32"/>
      <c r="C27" s="34">
        <f>100*1000/1000000*80</f>
        <v>8</v>
      </c>
      <c r="D27" s="34">
        <v>1</v>
      </c>
      <c r="E27" s="35"/>
    </row>
    <row r="28" spans="1:5" ht="12.75">
      <c r="A28" s="29" t="s">
        <v>70</v>
      </c>
      <c r="B28" s="32"/>
      <c r="C28" s="34">
        <f>100*1000/1000000*80</f>
        <v>8</v>
      </c>
      <c r="D28" s="34">
        <v>1</v>
      </c>
      <c r="E28" s="35"/>
    </row>
    <row r="29" spans="1:5" ht="12.75">
      <c r="A29" s="29" t="s">
        <v>71</v>
      </c>
      <c r="B29" s="32"/>
      <c r="C29" s="34">
        <f>100*1000/1000000*80</f>
        <v>8</v>
      </c>
      <c r="D29" s="34">
        <v>1</v>
      </c>
      <c r="E29" s="35"/>
    </row>
    <row r="30" spans="1:5" ht="12.75">
      <c r="A30" s="29" t="s">
        <v>72</v>
      </c>
      <c r="B30" s="32"/>
      <c r="C30" s="34">
        <f>100*1000/1000000*80</f>
        <v>8</v>
      </c>
      <c r="D30" s="32"/>
      <c r="E30" s="35"/>
    </row>
    <row r="31" spans="1:5" ht="12.75">
      <c r="A31" s="36"/>
      <c r="B31" s="37"/>
      <c r="C31" s="37"/>
      <c r="D31" s="37"/>
      <c r="E31" s="38"/>
    </row>
    <row r="32" spans="1:5" ht="12.75">
      <c r="A32" s="39" t="s">
        <v>73</v>
      </c>
      <c r="B32" s="37"/>
      <c r="C32" s="37"/>
      <c r="D32" s="37"/>
      <c r="E32" s="38"/>
    </row>
    <row r="33" spans="1:5" ht="12.75">
      <c r="A33" s="29" t="s">
        <v>66</v>
      </c>
      <c r="B33" s="30">
        <f>B23</f>
        <v>0.05556</v>
      </c>
      <c r="C33" s="30">
        <f>B33</f>
        <v>0.05556</v>
      </c>
      <c r="D33" s="30">
        <f>B33</f>
        <v>0.05556</v>
      </c>
      <c r="E33" s="31"/>
    </row>
    <row r="34" spans="1:5" ht="12.75">
      <c r="A34" s="29" t="s">
        <v>54</v>
      </c>
      <c r="B34" s="32">
        <f>B35</f>
        <v>31.79</v>
      </c>
      <c r="C34" s="32">
        <f>NPV(C33,C36:C40)</f>
        <v>6.82197565988815</v>
      </c>
      <c r="D34" s="32">
        <f>NPV(D33,D36:D39)</f>
        <v>0</v>
      </c>
      <c r="E34" s="33">
        <f>SUM(B34:D34)</f>
        <v>38.611975659888145</v>
      </c>
    </row>
    <row r="35" spans="1:5" ht="12.75">
      <c r="A35" s="29" t="s">
        <v>67</v>
      </c>
      <c r="B35" s="34">
        <v>31.79</v>
      </c>
      <c r="C35" s="32"/>
      <c r="D35" s="32"/>
      <c r="E35" s="35"/>
    </row>
    <row r="36" spans="1:5" ht="12.75">
      <c r="A36" s="29" t="s">
        <v>68</v>
      </c>
      <c r="B36" s="32"/>
      <c r="C36" s="34">
        <f>20*1000/1000000*80</f>
        <v>1.6</v>
      </c>
      <c r="D36" s="34">
        <v>0</v>
      </c>
      <c r="E36" s="35"/>
    </row>
    <row r="37" spans="1:5" ht="12.75">
      <c r="A37" s="29" t="s">
        <v>69</v>
      </c>
      <c r="B37" s="32"/>
      <c r="C37" s="34">
        <f>20*1000/1000000*80</f>
        <v>1.6</v>
      </c>
      <c r="D37" s="34">
        <v>0</v>
      </c>
      <c r="E37" s="35"/>
    </row>
    <row r="38" spans="1:5" ht="12.75">
      <c r="A38" s="29" t="s">
        <v>70</v>
      </c>
      <c r="B38" s="32"/>
      <c r="C38" s="34">
        <f>20*1000/1000000*80</f>
        <v>1.6</v>
      </c>
      <c r="D38" s="34">
        <v>0</v>
      </c>
      <c r="E38" s="35"/>
    </row>
    <row r="39" spans="1:5" ht="12.75">
      <c r="A39" s="29" t="s">
        <v>71</v>
      </c>
      <c r="B39" s="32"/>
      <c r="C39" s="34">
        <f>20*1000/1000000*80</f>
        <v>1.6</v>
      </c>
      <c r="D39" s="34">
        <v>0</v>
      </c>
      <c r="E39" s="35"/>
    </row>
    <row r="40" spans="1:5" ht="13.5" thickBot="1">
      <c r="A40" s="40" t="s">
        <v>72</v>
      </c>
      <c r="B40" s="41"/>
      <c r="C40" s="42">
        <f>20*1000/1000000*80</f>
        <v>1.6</v>
      </c>
      <c r="D40" s="41"/>
      <c r="E40" s="4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D14" sqref="D14"/>
    </sheetView>
  </sheetViews>
  <sheetFormatPr defaultColWidth="9.140625" defaultRowHeight="12.75"/>
  <cols>
    <col min="1" max="1" width="16.421875" style="0" customWidth="1"/>
    <col min="2" max="2" width="22.8515625" style="0" customWidth="1"/>
    <col min="3" max="3" width="18.140625" style="0" customWidth="1"/>
    <col min="4" max="4" width="13.421875" style="0" customWidth="1"/>
    <col min="5" max="5" width="11.8515625" style="0" customWidth="1"/>
  </cols>
  <sheetData>
    <row r="1" spans="1:5" ht="12.75">
      <c r="A1" s="44" t="s">
        <v>74</v>
      </c>
      <c r="B1" s="45"/>
      <c r="C1" s="45"/>
      <c r="D1" s="45"/>
      <c r="E1" s="46"/>
    </row>
    <row r="2" spans="1:5" ht="12.75">
      <c r="A2" s="55" t="s">
        <v>75</v>
      </c>
      <c r="B2" s="58" t="s">
        <v>76</v>
      </c>
      <c r="C2" s="59"/>
      <c r="D2" s="56" t="s">
        <v>77</v>
      </c>
      <c r="E2" s="57"/>
    </row>
    <row r="3" spans="1:5" ht="25.5">
      <c r="A3" s="36" t="s">
        <v>78</v>
      </c>
      <c r="B3" s="53" t="s">
        <v>79</v>
      </c>
      <c r="C3" s="50" t="s">
        <v>80</v>
      </c>
      <c r="D3" s="52" t="s">
        <v>81</v>
      </c>
      <c r="E3" s="38" t="s">
        <v>80</v>
      </c>
    </row>
    <row r="4" spans="1:5" ht="12.75">
      <c r="A4" s="36">
        <v>80</v>
      </c>
      <c r="B4" s="52" t="s">
        <v>82</v>
      </c>
      <c r="C4" s="37">
        <v>65</v>
      </c>
      <c r="D4" s="52" t="s">
        <v>83</v>
      </c>
      <c r="E4" s="38">
        <v>35</v>
      </c>
    </row>
    <row r="5" spans="1:5" ht="12.75">
      <c r="A5" s="36"/>
      <c r="B5" s="52" t="s">
        <v>84</v>
      </c>
      <c r="C5" s="37">
        <v>75</v>
      </c>
      <c r="D5" s="52" t="s">
        <v>85</v>
      </c>
      <c r="E5" s="38">
        <v>85</v>
      </c>
    </row>
    <row r="6" spans="1:5" ht="12.75">
      <c r="A6" s="36"/>
      <c r="B6" s="52" t="s">
        <v>86</v>
      </c>
      <c r="C6" s="37">
        <v>95</v>
      </c>
      <c r="D6" s="52" t="s">
        <v>87</v>
      </c>
      <c r="E6" s="38">
        <v>78</v>
      </c>
    </row>
    <row r="7" spans="1:5" ht="13.5" thickBot="1">
      <c r="A7" s="47"/>
      <c r="B7" s="54"/>
      <c r="C7" s="48"/>
      <c r="D7" s="54" t="s">
        <v>88</v>
      </c>
      <c r="E7" s="49">
        <v>90</v>
      </c>
    </row>
    <row r="9" ht="13.5" thickBot="1"/>
    <row r="10" spans="1:4" ht="38.25">
      <c r="A10" s="63" t="s">
        <v>89</v>
      </c>
      <c r="B10" s="60" t="s">
        <v>90</v>
      </c>
      <c r="C10" s="27" t="s">
        <v>91</v>
      </c>
      <c r="D10" s="51" t="s">
        <v>92</v>
      </c>
    </row>
    <row r="11" spans="1:4" ht="12.75">
      <c r="A11" s="61">
        <v>4</v>
      </c>
      <c r="B11" s="37" t="s">
        <v>93</v>
      </c>
      <c r="C11" s="37">
        <v>500</v>
      </c>
      <c r="D11" s="38">
        <v>610</v>
      </c>
    </row>
    <row r="12" spans="1:4" ht="12.75">
      <c r="A12" s="61">
        <v>5</v>
      </c>
      <c r="B12" s="37" t="s">
        <v>94</v>
      </c>
      <c r="C12" s="37">
        <v>300</v>
      </c>
      <c r="D12" s="38">
        <v>380</v>
      </c>
    </row>
    <row r="13" spans="1:4" ht="12.75">
      <c r="A13" s="61">
        <v>3</v>
      </c>
      <c r="B13" s="37" t="s">
        <v>95</v>
      </c>
      <c r="C13" s="37">
        <v>1000</v>
      </c>
      <c r="D13" s="38">
        <v>1100</v>
      </c>
    </row>
    <row r="14" spans="1:4" ht="13.5" thickBot="1">
      <c r="A14" s="62">
        <v>5</v>
      </c>
      <c r="B14" s="48" t="s">
        <v>96</v>
      </c>
      <c r="C14" s="48">
        <v>300</v>
      </c>
      <c r="D14" s="49">
        <v>360</v>
      </c>
    </row>
    <row r="16" ht="13.5" thickBot="1"/>
    <row r="17" spans="1:4" ht="25.5">
      <c r="A17" s="44" t="s">
        <v>81</v>
      </c>
      <c r="B17" s="51" t="s">
        <v>97</v>
      </c>
      <c r="C17" s="50" t="s">
        <v>81</v>
      </c>
      <c r="D17" s="23" t="s">
        <v>98</v>
      </c>
    </row>
    <row r="18" spans="1:4" ht="12.75">
      <c r="A18" s="36" t="s">
        <v>99</v>
      </c>
      <c r="B18" s="38">
        <v>203000</v>
      </c>
      <c r="C18" s="50" t="s">
        <v>100</v>
      </c>
      <c r="D18">
        <v>203000</v>
      </c>
    </row>
    <row r="19" spans="1:4" ht="12.75">
      <c r="A19" s="36" t="s">
        <v>101</v>
      </c>
      <c r="B19" s="38">
        <v>2000</v>
      </c>
      <c r="C19" s="50" t="s">
        <v>102</v>
      </c>
      <c r="D19">
        <v>2000</v>
      </c>
    </row>
    <row r="20" spans="1:4" ht="12.75">
      <c r="A20" s="36" t="s">
        <v>103</v>
      </c>
      <c r="B20" s="38">
        <v>203000</v>
      </c>
      <c r="C20" s="50" t="s">
        <v>104</v>
      </c>
      <c r="D20">
        <v>203000</v>
      </c>
    </row>
    <row r="21" spans="1:4" ht="12.75">
      <c r="A21" s="36" t="s">
        <v>105</v>
      </c>
      <c r="B21" s="38">
        <v>1200</v>
      </c>
      <c r="C21" s="50" t="s">
        <v>106</v>
      </c>
      <c r="D21">
        <v>1200</v>
      </c>
    </row>
    <row r="22" spans="1:4" ht="13.5" thickBot="1">
      <c r="A22" s="47" t="s">
        <v>107</v>
      </c>
      <c r="B22" s="49">
        <v>1000</v>
      </c>
      <c r="C22" s="50" t="s">
        <v>108</v>
      </c>
      <c r="D22">
        <v>1000</v>
      </c>
    </row>
    <row r="25" ht="12.75">
      <c r="A25" t="s">
        <v>109</v>
      </c>
    </row>
    <row r="27" spans="1:5" ht="12.75">
      <c r="A27" t="s">
        <v>110</v>
      </c>
      <c r="D27" s="25">
        <f>A11*C11+A12*C12+A13*C13+A14*C14</f>
        <v>8000</v>
      </c>
      <c r="E27" t="s">
        <v>111</v>
      </c>
    </row>
    <row r="28" spans="1:5" ht="12.75">
      <c r="A28" t="s">
        <v>112</v>
      </c>
      <c r="B28">
        <f>(4*$B$18+2*$B$19+4*$B$20+2*$B$21+12*$B$22)*20/1000000</f>
        <v>32.848</v>
      </c>
      <c r="C28" t="s">
        <v>113</v>
      </c>
      <c r="D28" s="25">
        <f>B28*A4</f>
        <v>2627.84</v>
      </c>
      <c r="E28" t="s">
        <v>111</v>
      </c>
    </row>
    <row r="29" spans="1:5" ht="12.75">
      <c r="A29" t="s">
        <v>114</v>
      </c>
      <c r="B29">
        <f>B28</f>
        <v>32.848</v>
      </c>
      <c r="C29" t="s">
        <v>113</v>
      </c>
      <c r="D29" s="25">
        <f>1*$C$4+0.5*$C$5+(B29-1.5)*$C$6</f>
        <v>3080.56</v>
      </c>
      <c r="E29" t="s">
        <v>111</v>
      </c>
    </row>
    <row r="30" spans="1:5" ht="12.75">
      <c r="A30" t="s">
        <v>115</v>
      </c>
      <c r="B30">
        <f>B29</f>
        <v>32.848</v>
      </c>
      <c r="C30" t="s">
        <v>113</v>
      </c>
      <c r="D30" s="25">
        <f>(4*$B$18*$E$5+2*$B$19*$E$6+4*$B$20*$E$6+2*$B$21*$E$7+2*$B$22*$E$7+10*$B$22*$E$4)*20/1000000</f>
        <v>2668.28</v>
      </c>
      <c r="E30" t="s">
        <v>111</v>
      </c>
    </row>
    <row r="31" spans="3:5" ht="12.75">
      <c r="C31" s="22" t="s">
        <v>116</v>
      </c>
      <c r="D31" s="25">
        <f>D27+D28</f>
        <v>10627.84</v>
      </c>
      <c r="E31" t="s">
        <v>117</v>
      </c>
    </row>
    <row r="32" spans="3:5" ht="12.75">
      <c r="C32" s="22" t="s">
        <v>118</v>
      </c>
      <c r="D32" s="25">
        <f>D27+D30</f>
        <v>10668.28</v>
      </c>
      <c r="E32" t="s">
        <v>111</v>
      </c>
    </row>
    <row r="34" spans="1:5" ht="12.75">
      <c r="A34" t="s">
        <v>119</v>
      </c>
      <c r="D34" s="25">
        <f>A11*D11+A12*D12+A13*D13+A14*D14</f>
        <v>9440</v>
      </c>
      <c r="E34" t="s">
        <v>111</v>
      </c>
    </row>
    <row r="35" spans="1:5" ht="12.75">
      <c r="A35" t="s">
        <v>115</v>
      </c>
      <c r="B35">
        <f>(4*D18+2*D19+4*D20+2*D21+12*D22)/1000000*20</f>
        <v>32.848</v>
      </c>
      <c r="C35" t="s">
        <v>113</v>
      </c>
      <c r="D35" s="25">
        <f>(4*$D$18*$E$4+2*$D$19*$E$4+4*$D$20*$E$4+2*$D$21*$E$5+2*$D$22*$E$5+6*$D$22*$E$6+4*$D$22*$E$7)*20/1000000</f>
        <v>1163.64</v>
      </c>
      <c r="E35" t="s">
        <v>111</v>
      </c>
    </row>
    <row r="36" spans="3:5" ht="12.75">
      <c r="C36" s="22" t="s">
        <v>120</v>
      </c>
      <c r="D36" s="25">
        <f>D34+D35</f>
        <v>10603.64</v>
      </c>
      <c r="E36" t="s">
        <v>111</v>
      </c>
    </row>
  </sheetData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8.00390625" style="0" customWidth="1"/>
    <col min="3" max="3" width="12.421875" style="0" customWidth="1"/>
    <col min="4" max="5" width="12.28125" style="0" customWidth="1"/>
    <col min="6" max="6" width="12.140625" style="0" customWidth="1"/>
    <col min="7" max="8" width="13.140625" style="0" customWidth="1"/>
    <col min="11" max="12" width="11.7109375" style="0" customWidth="1"/>
  </cols>
  <sheetData>
    <row r="1" spans="1:7" ht="12.75">
      <c r="A1" t="s">
        <v>121</v>
      </c>
      <c r="G1">
        <f>'[1]Revised Residential'!$C$11*'[1]Revised Residential'!$G$14+'[1]Revised Residential'!$C$12*'[1]Revised Residential'!$H$14+'[1]Revised Residential'!$C$13*'[1]Revised Residential'!$I$14+'[1]Revised Residential'!$C$14*'[1]Revised Residential'!$J$14</f>
        <v>2110550.23923445</v>
      </c>
    </row>
    <row r="3" spans="1:8" ht="12.75">
      <c r="A3" t="s">
        <v>122</v>
      </c>
      <c r="C3" s="22" t="s">
        <v>123</v>
      </c>
      <c r="G3" s="1">
        <v>0.95</v>
      </c>
      <c r="H3" s="1"/>
    </row>
    <row r="4" spans="1:8" ht="12.75">
      <c r="A4" t="s">
        <v>124</v>
      </c>
      <c r="C4" s="1">
        <v>0.23</v>
      </c>
      <c r="D4" s="64">
        <f>$G$1*C4</f>
        <v>485426.55502392346</v>
      </c>
      <c r="E4" s="64"/>
      <c r="G4" s="64">
        <f>D4*0.95</f>
        <v>461155.22727272724</v>
      </c>
      <c r="H4" s="64"/>
    </row>
    <row r="5" spans="1:8" ht="12.75">
      <c r="A5" t="s">
        <v>125</v>
      </c>
      <c r="C5" s="1">
        <v>0.23</v>
      </c>
      <c r="D5" s="64">
        <f>$G$1*C5</f>
        <v>485426.55502392346</v>
      </c>
      <c r="E5" s="64"/>
      <c r="G5" s="64">
        <f>D5*0.95</f>
        <v>461155.22727272724</v>
      </c>
      <c r="H5" s="64"/>
    </row>
    <row r="6" spans="1:8" ht="12.75">
      <c r="A6" s="65" t="s">
        <v>126</v>
      </c>
      <c r="B6" s="65"/>
      <c r="C6" s="1">
        <v>0.18</v>
      </c>
      <c r="D6" s="64">
        <f>$G$1*C6</f>
        <v>379899.04306220094</v>
      </c>
      <c r="E6" s="64"/>
      <c r="G6" s="64">
        <f>D6*0.95</f>
        <v>360904.0909090909</v>
      </c>
      <c r="H6" s="64"/>
    </row>
    <row r="7" spans="1:8" ht="12.75">
      <c r="A7" s="65" t="s">
        <v>127</v>
      </c>
      <c r="B7" s="65"/>
      <c r="C7" s="1">
        <v>0.18</v>
      </c>
      <c r="D7" s="64">
        <f>$G$1*C7</f>
        <v>379899.04306220094</v>
      </c>
      <c r="E7" s="64"/>
      <c r="G7" s="64">
        <f>D7*0.95</f>
        <v>360904.0909090909</v>
      </c>
      <c r="H7" s="64"/>
    </row>
    <row r="8" spans="1:8" ht="12.75">
      <c r="A8" t="s">
        <v>128</v>
      </c>
      <c r="C8" s="1">
        <v>0.18</v>
      </c>
      <c r="D8" s="64">
        <f>$G$1*C8</f>
        <v>379899.04306220094</v>
      </c>
      <c r="E8" s="64"/>
      <c r="G8" s="64">
        <f>D8*0.95</f>
        <v>360904.0909090909</v>
      </c>
      <c r="H8" s="64"/>
    </row>
    <row r="9" spans="1:8" ht="12.75">
      <c r="A9" s="22" t="s">
        <v>129</v>
      </c>
      <c r="B9" s="22"/>
      <c r="C9" s="1"/>
      <c r="D9" s="64">
        <f>SUM(D4:D8)</f>
        <v>2110550.23923445</v>
      </c>
      <c r="E9" s="64"/>
      <c r="G9" s="64">
        <f>SUM(G4:G8)</f>
        <v>2005022.727272727</v>
      </c>
      <c r="H9" s="64"/>
    </row>
    <row r="10" ht="13.5" thickBot="1"/>
    <row r="11" spans="3:8" ht="12.75">
      <c r="C11" s="66" t="s">
        <v>130</v>
      </c>
      <c r="D11" s="68"/>
      <c r="E11" s="67"/>
      <c r="F11" s="66" t="s">
        <v>131</v>
      </c>
      <c r="G11" s="68"/>
      <c r="H11" s="67"/>
    </row>
    <row r="12" spans="2:13" ht="12.75">
      <c r="B12" s="22" t="s">
        <v>132</v>
      </c>
      <c r="C12" s="29" t="s">
        <v>133</v>
      </c>
      <c r="D12" s="50" t="s">
        <v>134</v>
      </c>
      <c r="E12" s="31" t="s">
        <v>135</v>
      </c>
      <c r="F12" s="29" t="s">
        <v>136</v>
      </c>
      <c r="G12" s="50" t="s">
        <v>137</v>
      </c>
      <c r="H12" s="31" t="s">
        <v>135</v>
      </c>
      <c r="J12" t="s">
        <v>138</v>
      </c>
      <c r="M12" t="s">
        <v>138</v>
      </c>
    </row>
    <row r="13" spans="3:8" ht="12.75">
      <c r="C13" s="36"/>
      <c r="D13" s="37"/>
      <c r="E13" s="38"/>
      <c r="F13" s="36"/>
      <c r="G13" s="37"/>
      <c r="H13" s="38"/>
    </row>
    <row r="14" spans="2:15" ht="12.75">
      <c r="B14">
        <v>1</v>
      </c>
      <c r="C14" s="70">
        <f>($G$4/5+50000)*0.4+SUM($G$5:$G$8)+(4/5*$G$4)</f>
        <v>1969684.0999999999</v>
      </c>
      <c r="D14" s="69">
        <f>($G$4/5+50000)*0.6+($D$9-$G$9)</f>
        <v>190866.13923445</v>
      </c>
      <c r="E14" s="71">
        <f>(C14*800+D14*400)/1000</f>
        <v>1652093.73569378</v>
      </c>
      <c r="F14" s="70">
        <f>($G$4/5+50000)*0.7+SUM($G$5:$G$8)+(4/5*$G$4)</f>
        <v>2012353.4136363633</v>
      </c>
      <c r="G14" s="69">
        <f>($G$4/5+50000)*0.3+($D$9-$G$9)</f>
        <v>148196.82559808638</v>
      </c>
      <c r="H14" s="71">
        <f>(F14*800+G14*400)/1000</f>
        <v>1669161.4611483251</v>
      </c>
      <c r="J14" s="64">
        <f>C14+D14</f>
        <v>2160550.23923445</v>
      </c>
      <c r="K14" s="64">
        <f aca="true" t="shared" si="0" ref="K14:K38">50000*$B14</f>
        <v>50000</v>
      </c>
      <c r="L14" s="64">
        <f aca="true" t="shared" si="1" ref="L14:L38">J14-K14</f>
        <v>2110550.23923445</v>
      </c>
      <c r="M14" s="64">
        <f aca="true" t="shared" si="2" ref="M14:M38">F14+G14</f>
        <v>2160550.23923445</v>
      </c>
      <c r="N14" s="64">
        <f aca="true" t="shared" si="3" ref="N14:N38">50000*$B14</f>
        <v>50000</v>
      </c>
      <c r="O14" s="64">
        <f aca="true" t="shared" si="4" ref="O14:O38">M14-N14</f>
        <v>2110550.23923445</v>
      </c>
    </row>
    <row r="15" spans="2:15" ht="12.75">
      <c r="B15">
        <f aca="true" t="shared" si="5" ref="B15:B38">B14+1</f>
        <v>2</v>
      </c>
      <c r="C15" s="70">
        <f>C14-(1/5*$G$4)+(0.4*(1/5*$G$4+50000))</f>
        <v>1934345.4727272727</v>
      </c>
      <c r="D15" s="69">
        <f>D14+(0.6*(1/5*$G$4+50000))</f>
        <v>276204.76650717726</v>
      </c>
      <c r="E15" s="71"/>
      <c r="F15" s="70">
        <f>F14-(1/5*$G$4)+(0.7*(1/5*$G$4+50000))</f>
        <v>2019684.0999999999</v>
      </c>
      <c r="G15" s="69">
        <f>G14+(0.3*(1/5*$G$4+50000))</f>
        <v>190866.13923445</v>
      </c>
      <c r="H15" s="71"/>
      <c r="J15" s="64">
        <f aca="true" t="shared" si="6" ref="J15:J30">C15+D15</f>
        <v>2210550.23923445</v>
      </c>
      <c r="K15" s="64">
        <f t="shared" si="0"/>
        <v>100000</v>
      </c>
      <c r="L15" s="64">
        <f t="shared" si="1"/>
        <v>2110550.23923445</v>
      </c>
      <c r="M15" s="64">
        <f t="shared" si="2"/>
        <v>2210550.23923445</v>
      </c>
      <c r="N15" s="64">
        <f t="shared" si="3"/>
        <v>100000</v>
      </c>
      <c r="O15" s="64">
        <f t="shared" si="4"/>
        <v>2110550.23923445</v>
      </c>
    </row>
    <row r="16" spans="2:15" ht="12.75">
      <c r="B16">
        <f t="shared" si="5"/>
        <v>3</v>
      </c>
      <c r="C16" s="70">
        <f>C15-(1/5*$G$4)+(0.4*(1/5*$G$4+50000))</f>
        <v>1899006.8454545455</v>
      </c>
      <c r="D16" s="69">
        <f>D15+(0.6*(1/5*$G$4+50000))</f>
        <v>361543.3937799045</v>
      </c>
      <c r="E16" s="71"/>
      <c r="F16" s="70">
        <f>F15-(1/5*$G$4)+(0.7*(1/5*$G$4+50000))</f>
        <v>2027014.7863636364</v>
      </c>
      <c r="G16" s="69">
        <f>G15+(0.3*(1/5*$G$4+50000))</f>
        <v>233535.45287081363</v>
      </c>
      <c r="H16" s="71"/>
      <c r="J16" s="64">
        <f t="shared" si="6"/>
        <v>2260550.23923445</v>
      </c>
      <c r="K16" s="64">
        <f t="shared" si="0"/>
        <v>150000</v>
      </c>
      <c r="L16" s="64">
        <f t="shared" si="1"/>
        <v>2110550.23923445</v>
      </c>
      <c r="M16" s="64">
        <f t="shared" si="2"/>
        <v>2260550.23923445</v>
      </c>
      <c r="N16" s="64">
        <f t="shared" si="3"/>
        <v>150000</v>
      </c>
      <c r="O16" s="64">
        <f t="shared" si="4"/>
        <v>2110550.23923445</v>
      </c>
    </row>
    <row r="17" spans="2:15" ht="12.75">
      <c r="B17">
        <f t="shared" si="5"/>
        <v>4</v>
      </c>
      <c r="C17" s="70">
        <f>C16-(1/5*$G$4)+(0.4*(1/5*$G$4+50000))</f>
        <v>1863668.2181818183</v>
      </c>
      <c r="D17" s="69">
        <f>D16+(0.6*(1/5*$G$4+50000))</f>
        <v>446882.0210526318</v>
      </c>
      <c r="E17" s="71"/>
      <c r="F17" s="70">
        <f>F16-(1/5*$G$4)+(0.7*(1/5*$G$4+50000))</f>
        <v>2034345.472727273</v>
      </c>
      <c r="G17" s="69">
        <f>G16+(0.3*(1/5*$G$4+50000))</f>
        <v>276204.76650717726</v>
      </c>
      <c r="H17" s="71"/>
      <c r="J17" s="64">
        <f t="shared" si="6"/>
        <v>2310550.2392344503</v>
      </c>
      <c r="K17" s="64">
        <f t="shared" si="0"/>
        <v>200000</v>
      </c>
      <c r="L17" s="64">
        <f t="shared" si="1"/>
        <v>2110550.2392344503</v>
      </c>
      <c r="M17" s="64">
        <f t="shared" si="2"/>
        <v>2310550.2392344503</v>
      </c>
      <c r="N17" s="64">
        <f t="shared" si="3"/>
        <v>200000</v>
      </c>
      <c r="O17" s="64">
        <f t="shared" si="4"/>
        <v>2110550.2392344503</v>
      </c>
    </row>
    <row r="18" spans="2:15" ht="12.75">
      <c r="B18">
        <f t="shared" si="5"/>
        <v>5</v>
      </c>
      <c r="C18" s="70">
        <f>C17-(1/5*$G$4)+(0.4*(1/5*$G$4+50000))</f>
        <v>1828329.590909091</v>
      </c>
      <c r="D18" s="69">
        <f>D17+(0.6*(1/5*$G$4+50000))</f>
        <v>532220.6483253591</v>
      </c>
      <c r="E18" s="71">
        <f>(C18*800+D18*400)/1000</f>
        <v>1675551.9320574165</v>
      </c>
      <c r="F18" s="70">
        <f>F17-(1/5*$G$4)+(0.7*(1/5*$G$4+50000))</f>
        <v>2041676.1590909094</v>
      </c>
      <c r="G18" s="69">
        <f>G17+(0.3*(1/5*$G$4+50000))</f>
        <v>318874.0801435409</v>
      </c>
      <c r="H18" s="71">
        <f>(F18*800+G18*400)/1000</f>
        <v>1760890.559330144</v>
      </c>
      <c r="J18" s="64">
        <f t="shared" si="6"/>
        <v>2360550.2392344503</v>
      </c>
      <c r="K18" s="64">
        <f t="shared" si="0"/>
        <v>250000</v>
      </c>
      <c r="L18" s="64">
        <f t="shared" si="1"/>
        <v>2110550.2392344503</v>
      </c>
      <c r="M18" s="64">
        <f t="shared" si="2"/>
        <v>2360550.2392344503</v>
      </c>
      <c r="N18" s="64">
        <f t="shared" si="3"/>
        <v>250000</v>
      </c>
      <c r="O18" s="64">
        <f t="shared" si="4"/>
        <v>2110550.2392344503</v>
      </c>
    </row>
    <row r="19" spans="2:15" ht="12.75">
      <c r="B19">
        <f t="shared" si="5"/>
        <v>6</v>
      </c>
      <c r="C19" s="70">
        <f>C18-(1/5*$G$5)+(0.4*(1/5*$G$5+50000))</f>
        <v>1792990.9636363639</v>
      </c>
      <c r="D19" s="69">
        <f>D18+(0.6*(1/5*$G$5+50000))</f>
        <v>617559.2755980864</v>
      </c>
      <c r="E19" s="71"/>
      <c r="F19" s="70">
        <f>F18-(1/5*$G$5)+(0.7*(1/5*$G$5+50000))</f>
        <v>2049006.845454546</v>
      </c>
      <c r="G19" s="69">
        <f>G18+(0.3*(1/5*$G$5+50000))</f>
        <v>361543.3937799046</v>
      </c>
      <c r="H19" s="71"/>
      <c r="J19" s="64">
        <f t="shared" si="6"/>
        <v>2410550.2392344503</v>
      </c>
      <c r="K19" s="64">
        <f t="shared" si="0"/>
        <v>300000</v>
      </c>
      <c r="L19" s="64">
        <f t="shared" si="1"/>
        <v>2110550.2392344503</v>
      </c>
      <c r="M19" s="64">
        <f t="shared" si="2"/>
        <v>2410550.2392344503</v>
      </c>
      <c r="N19" s="64">
        <f t="shared" si="3"/>
        <v>300000</v>
      </c>
      <c r="O19" s="64">
        <f t="shared" si="4"/>
        <v>2110550.2392344503</v>
      </c>
    </row>
    <row r="20" spans="2:15" ht="12.75">
      <c r="B20">
        <f t="shared" si="5"/>
        <v>7</v>
      </c>
      <c r="C20" s="70">
        <f>C19-(1/5*$G$5)+(0.4*(1/5*$G$5+50000))</f>
        <v>1757652.3363636367</v>
      </c>
      <c r="D20" s="69">
        <f>D19+(0.6*(1/5*$G$5+50000))</f>
        <v>702897.9028708137</v>
      </c>
      <c r="E20" s="71"/>
      <c r="F20" s="70">
        <f>F19-(1/5*$G$5)+(0.7*(1/5*$G$5+50000))</f>
        <v>2056337.5318181824</v>
      </c>
      <c r="G20" s="69">
        <f>G19+(0.3*(1/5*$G$5+50000))</f>
        <v>404212.70741626824</v>
      </c>
      <c r="H20" s="71"/>
      <c r="J20" s="64">
        <f t="shared" si="6"/>
        <v>2460550.2392344503</v>
      </c>
      <c r="K20" s="64">
        <f t="shared" si="0"/>
        <v>350000</v>
      </c>
      <c r="L20" s="64">
        <f t="shared" si="1"/>
        <v>2110550.2392344503</v>
      </c>
      <c r="M20" s="64">
        <f t="shared" si="2"/>
        <v>2460550.2392344507</v>
      </c>
      <c r="N20" s="64">
        <f t="shared" si="3"/>
        <v>350000</v>
      </c>
      <c r="O20" s="64">
        <f t="shared" si="4"/>
        <v>2110550.2392344507</v>
      </c>
    </row>
    <row r="21" spans="2:15" ht="12.75">
      <c r="B21">
        <f t="shared" si="5"/>
        <v>8</v>
      </c>
      <c r="C21" s="70">
        <f>C20-(1/5*$G$5)+(0.4*(1/5*$G$5+50000))</f>
        <v>1722313.7090909095</v>
      </c>
      <c r="D21" s="69">
        <f>D20+(0.6*(1/5*$G$5+50000))</f>
        <v>788236.530143541</v>
      </c>
      <c r="E21" s="71"/>
      <c r="F21" s="70">
        <f>F20-(1/5*$G$5)+(0.7*(1/5*$G$5+50000))</f>
        <v>2063668.218181819</v>
      </c>
      <c r="G21" s="69">
        <f>G20+(0.3*(1/5*$G$5+50000))</f>
        <v>446882.0210526319</v>
      </c>
      <c r="H21" s="71"/>
      <c r="J21" s="64">
        <f t="shared" si="6"/>
        <v>2510550.2392344503</v>
      </c>
      <c r="K21" s="64">
        <f t="shared" si="0"/>
        <v>400000</v>
      </c>
      <c r="L21" s="64">
        <f t="shared" si="1"/>
        <v>2110550.2392344503</v>
      </c>
      <c r="M21" s="64">
        <f t="shared" si="2"/>
        <v>2510550.2392344507</v>
      </c>
      <c r="N21" s="64">
        <f t="shared" si="3"/>
        <v>400000</v>
      </c>
      <c r="O21" s="64">
        <f t="shared" si="4"/>
        <v>2110550.2392344507</v>
      </c>
    </row>
    <row r="22" spans="2:15" ht="12.75">
      <c r="B22">
        <f t="shared" si="5"/>
        <v>9</v>
      </c>
      <c r="C22" s="70">
        <f>C21-(1/5*$G$5)+(0.4*(1/5*$G$5+50000))</f>
        <v>1686975.0818181823</v>
      </c>
      <c r="D22" s="69">
        <f>D21+(0.6*(1/5*$G$5+50000))</f>
        <v>873575.1574162684</v>
      </c>
      <c r="E22" s="71"/>
      <c r="F22" s="70">
        <f>F21-(1/5*$G$5)+(0.7*(1/5*$G$5+50000))</f>
        <v>2070998.9045454555</v>
      </c>
      <c r="G22" s="69">
        <f>G21+(0.3*(1/5*$G$5+50000))</f>
        <v>489551.33468899556</v>
      </c>
      <c r="H22" s="71"/>
      <c r="J22" s="64">
        <f t="shared" si="6"/>
        <v>2560550.2392344507</v>
      </c>
      <c r="K22" s="64">
        <f t="shared" si="0"/>
        <v>450000</v>
      </c>
      <c r="L22" s="64">
        <f t="shared" si="1"/>
        <v>2110550.2392344507</v>
      </c>
      <c r="M22" s="64">
        <f t="shared" si="2"/>
        <v>2560550.239234451</v>
      </c>
      <c r="N22" s="64">
        <f t="shared" si="3"/>
        <v>450000</v>
      </c>
      <c r="O22" s="64">
        <f t="shared" si="4"/>
        <v>2110550.239234451</v>
      </c>
    </row>
    <row r="23" spans="2:15" ht="12.75">
      <c r="B23">
        <f t="shared" si="5"/>
        <v>10</v>
      </c>
      <c r="C23" s="70">
        <f>C22-(1/5*$G$5)+(0.4*(1/5*$G$5+50000))</f>
        <v>1651636.454545455</v>
      </c>
      <c r="D23" s="69">
        <f>D22+(0.6*(1/5*$G$5+50000))</f>
        <v>958913.7846889957</v>
      </c>
      <c r="E23" s="71">
        <f>(C23*800+D23*400)/1000</f>
        <v>1704874.6775119621</v>
      </c>
      <c r="F23" s="70">
        <f>F22-(1/5*$G$5)+(0.7*(1/5*$G$5+50000))</f>
        <v>2078329.590909092</v>
      </c>
      <c r="G23" s="69">
        <f>G22+(0.3*(1/5*$G$5+50000))</f>
        <v>532220.6483253592</v>
      </c>
      <c r="H23" s="71">
        <f>(F23*800+G23*400)/1000</f>
        <v>1875551.9320574175</v>
      </c>
      <c r="J23" s="64">
        <f t="shared" si="6"/>
        <v>2610550.2392344507</v>
      </c>
      <c r="K23" s="64">
        <f t="shared" si="0"/>
        <v>500000</v>
      </c>
      <c r="L23" s="64">
        <f t="shared" si="1"/>
        <v>2110550.2392344507</v>
      </c>
      <c r="M23" s="64">
        <f t="shared" si="2"/>
        <v>2610550.239234451</v>
      </c>
      <c r="N23" s="64">
        <f t="shared" si="3"/>
        <v>500000</v>
      </c>
      <c r="O23" s="64">
        <f t="shared" si="4"/>
        <v>2110550.239234451</v>
      </c>
    </row>
    <row r="24" spans="2:15" ht="12.75">
      <c r="B24">
        <f t="shared" si="5"/>
        <v>11</v>
      </c>
      <c r="C24" s="70">
        <f>C23-(1/5*$G$6)+(0.4*(1/5*$G$6+50000))</f>
        <v>1628327.9636363643</v>
      </c>
      <c r="D24" s="69">
        <f>D23+(0.6*(1/5*$G$6+50000))</f>
        <v>1032222.2755980866</v>
      </c>
      <c r="E24" s="71"/>
      <c r="F24" s="70">
        <f>F23-(1/5*$G$6)+(0.7*(1/5*$G$6+50000))</f>
        <v>2091675.3454545466</v>
      </c>
      <c r="G24" s="69">
        <f>G23+(0.3*(1/5*$G$6+50000))</f>
        <v>568874.8937799047</v>
      </c>
      <c r="H24" s="71"/>
      <c r="J24" s="64">
        <f t="shared" si="6"/>
        <v>2660550.239234451</v>
      </c>
      <c r="K24" s="64">
        <f t="shared" si="0"/>
        <v>550000</v>
      </c>
      <c r="L24" s="64">
        <f t="shared" si="1"/>
        <v>2110550.239234451</v>
      </c>
      <c r="M24" s="64">
        <f t="shared" si="2"/>
        <v>2660550.239234451</v>
      </c>
      <c r="N24" s="64">
        <f t="shared" si="3"/>
        <v>550000</v>
      </c>
      <c r="O24" s="64">
        <f t="shared" si="4"/>
        <v>2110550.239234451</v>
      </c>
    </row>
    <row r="25" spans="2:15" ht="12.75">
      <c r="B25">
        <f t="shared" si="5"/>
        <v>12</v>
      </c>
      <c r="C25" s="70">
        <f>C24-(1/5*$G$6)+(0.4*(1/5*$G$6+50000))</f>
        <v>1605019.4727272736</v>
      </c>
      <c r="D25" s="69">
        <f>D24+(0.6*(1/5*$G$6+50000))</f>
        <v>1105530.7665071776</v>
      </c>
      <c r="E25" s="71"/>
      <c r="F25" s="70">
        <f>F24-(1/5*$G$6)+(0.7*(1/5*$G$6+50000))</f>
        <v>2105021.100000001</v>
      </c>
      <c r="G25" s="69">
        <f>G24+(0.3*(1/5*$G$6+50000))</f>
        <v>605529.1392344502</v>
      </c>
      <c r="H25" s="71"/>
      <c r="J25" s="64">
        <f t="shared" si="6"/>
        <v>2710550.239234451</v>
      </c>
      <c r="K25" s="64">
        <f t="shared" si="0"/>
        <v>600000</v>
      </c>
      <c r="L25" s="64">
        <f t="shared" si="1"/>
        <v>2110550.239234451</v>
      </c>
      <c r="M25" s="64">
        <f t="shared" si="2"/>
        <v>2710550.239234451</v>
      </c>
      <c r="N25" s="64">
        <f t="shared" si="3"/>
        <v>600000</v>
      </c>
      <c r="O25" s="64">
        <f t="shared" si="4"/>
        <v>2110550.239234451</v>
      </c>
    </row>
    <row r="26" spans="2:15" ht="12.75">
      <c r="B26">
        <f t="shared" si="5"/>
        <v>13</v>
      </c>
      <c r="C26" s="70">
        <f>C25-(1/5*$G$6)+(0.4*(1/5*$G$6+50000))</f>
        <v>1581710.9818181829</v>
      </c>
      <c r="D26" s="69">
        <f>D25+(0.6*(1/5*$G$6+50000))</f>
        <v>1178839.2574162686</v>
      </c>
      <c r="E26" s="71"/>
      <c r="F26" s="70">
        <f>F25-(1/5*$G$6)+(0.7*(1/5*$G$6+50000))</f>
        <v>2118366.8545454554</v>
      </c>
      <c r="G26" s="69">
        <f>G25+(0.3*(1/5*$G$6+50000))</f>
        <v>642183.3846889957</v>
      </c>
      <c r="H26" s="71"/>
      <c r="J26" s="64">
        <f t="shared" si="6"/>
        <v>2760550.239234451</v>
      </c>
      <c r="K26" s="64">
        <f t="shared" si="0"/>
        <v>650000</v>
      </c>
      <c r="L26" s="64">
        <f t="shared" si="1"/>
        <v>2110550.239234451</v>
      </c>
      <c r="M26" s="64">
        <f t="shared" si="2"/>
        <v>2760550.239234451</v>
      </c>
      <c r="N26" s="64">
        <f t="shared" si="3"/>
        <v>650000</v>
      </c>
      <c r="O26" s="64">
        <f t="shared" si="4"/>
        <v>2110550.239234451</v>
      </c>
    </row>
    <row r="27" spans="2:15" ht="12.75">
      <c r="B27">
        <f t="shared" si="5"/>
        <v>14</v>
      </c>
      <c r="C27" s="70">
        <f>C26-(1/5*$G$6)+(0.4*(1/5*$G$6+50000))</f>
        <v>1558402.4909090921</v>
      </c>
      <c r="D27" s="69">
        <f>D26+(0.6*(1/5*$G$6+50000))</f>
        <v>1252147.7483253595</v>
      </c>
      <c r="E27" s="71"/>
      <c r="F27" s="70">
        <f>F26-(1/5*$G$6)+(0.7*(1/5*$G$6+50000))</f>
        <v>2131712.60909091</v>
      </c>
      <c r="G27" s="69">
        <f>G26+(0.3*(1/5*$G$6+50000))</f>
        <v>678837.6301435411</v>
      </c>
      <c r="H27" s="71"/>
      <c r="J27" s="64">
        <f t="shared" si="6"/>
        <v>2810550.2392344517</v>
      </c>
      <c r="K27" s="64">
        <f t="shared" si="0"/>
        <v>700000</v>
      </c>
      <c r="L27" s="64">
        <f t="shared" si="1"/>
        <v>2110550.2392344517</v>
      </c>
      <c r="M27" s="64">
        <f t="shared" si="2"/>
        <v>2810550.239234451</v>
      </c>
      <c r="N27" s="64">
        <f t="shared" si="3"/>
        <v>700000</v>
      </c>
      <c r="O27" s="64">
        <f t="shared" si="4"/>
        <v>2110550.239234451</v>
      </c>
    </row>
    <row r="28" spans="2:15" ht="12.75">
      <c r="B28">
        <f t="shared" si="5"/>
        <v>15</v>
      </c>
      <c r="C28" s="70">
        <f>C27-(1/5*$G$6)+(0.4*(1/5*$G$6+50000))</f>
        <v>1535094.0000000014</v>
      </c>
      <c r="D28" s="69">
        <f>D27+(0.6*(1/5*$G$6+50000))</f>
        <v>1325456.2392344505</v>
      </c>
      <c r="E28" s="71">
        <f>(C28*800+D28*400)/1000</f>
        <v>1758257.6956937814</v>
      </c>
      <c r="F28" s="70">
        <f>F27-(1/5*$G$6)+(0.7*(1/5*$G$6+50000))</f>
        <v>2145058.363636364</v>
      </c>
      <c r="G28" s="69">
        <f>G27+(0.3*(1/5*$G$6+50000))</f>
        <v>715491.8755980866</v>
      </c>
      <c r="H28" s="71">
        <f>(F28*800+G28*400)/1000</f>
        <v>2002243.4411483263</v>
      </c>
      <c r="J28" s="64">
        <f t="shared" si="6"/>
        <v>2860550.239234452</v>
      </c>
      <c r="K28" s="64">
        <f t="shared" si="0"/>
        <v>750000</v>
      </c>
      <c r="L28" s="64">
        <f t="shared" si="1"/>
        <v>2110550.239234452</v>
      </c>
      <c r="M28" s="64">
        <f t="shared" si="2"/>
        <v>2860550.2392344507</v>
      </c>
      <c r="N28" s="64">
        <f t="shared" si="3"/>
        <v>750000</v>
      </c>
      <c r="O28" s="64">
        <f t="shared" si="4"/>
        <v>2110550.2392344507</v>
      </c>
    </row>
    <row r="29" spans="2:15" ht="12.75">
      <c r="B29">
        <f t="shared" si="5"/>
        <v>16</v>
      </c>
      <c r="C29" s="70">
        <f>C28-(1/5*$G$7)+(0.4*(1/5*$G$7+50000))</f>
        <v>1511785.5090909107</v>
      </c>
      <c r="D29" s="69">
        <f>D28+(0.6*(1/5*$G$7+50000))</f>
        <v>1398764.7301435415</v>
      </c>
      <c r="E29" s="71"/>
      <c r="F29" s="70">
        <f>F28-(1/5*$G$7)+(0.7*(1/5*$G$7+50000))</f>
        <v>2158404.1181818186</v>
      </c>
      <c r="G29" s="69">
        <f>G28+(0.3*(1/5*$G$7+50000))</f>
        <v>752146.1210526321</v>
      </c>
      <c r="H29" s="71"/>
      <c r="J29" s="64">
        <f t="shared" si="6"/>
        <v>2910550.239234452</v>
      </c>
      <c r="K29" s="64">
        <f t="shared" si="0"/>
        <v>800000</v>
      </c>
      <c r="L29" s="64">
        <f t="shared" si="1"/>
        <v>2110550.239234452</v>
      </c>
      <c r="M29" s="64">
        <f t="shared" si="2"/>
        <v>2910550.2392344507</v>
      </c>
      <c r="N29" s="64">
        <f t="shared" si="3"/>
        <v>800000</v>
      </c>
      <c r="O29" s="64">
        <f t="shared" si="4"/>
        <v>2110550.2392344507</v>
      </c>
    </row>
    <row r="30" spans="2:15" ht="12.75">
      <c r="B30">
        <f t="shared" si="5"/>
        <v>17</v>
      </c>
      <c r="C30" s="70">
        <f>C29-(1/5*$G$7)+(0.4*(1/5*$G$7+50000))</f>
        <v>1488477.01818182</v>
      </c>
      <c r="D30" s="69">
        <f>D29+(0.6*(1/5*$G$7+50000))</f>
        <v>1472073.2210526324</v>
      </c>
      <c r="E30" s="71"/>
      <c r="F30" s="70">
        <f>F29-(1/5*$G$7)+(0.7*(1/5*$G$7+50000))</f>
        <v>2171749.872727273</v>
      </c>
      <c r="G30" s="69">
        <f>G29+(0.3*(1/5*$G$7+50000))</f>
        <v>788800.3665071776</v>
      </c>
      <c r="H30" s="71"/>
      <c r="J30" s="64">
        <f t="shared" si="6"/>
        <v>2960550.239234452</v>
      </c>
      <c r="K30" s="64">
        <f t="shared" si="0"/>
        <v>850000</v>
      </c>
      <c r="L30" s="64">
        <f t="shared" si="1"/>
        <v>2110550.239234452</v>
      </c>
      <c r="M30" s="64">
        <f t="shared" si="2"/>
        <v>2960550.2392344507</v>
      </c>
      <c r="N30" s="64">
        <f t="shared" si="3"/>
        <v>850000</v>
      </c>
      <c r="O30" s="64">
        <f t="shared" si="4"/>
        <v>2110550.2392344507</v>
      </c>
    </row>
    <row r="31" spans="2:15" ht="12.75">
      <c r="B31">
        <f t="shared" si="5"/>
        <v>18</v>
      </c>
      <c r="C31" s="70">
        <f>C30-(1/5*$G$7)+(0.4*(1/5*$G$7+50000))</f>
        <v>1465168.5272727292</v>
      </c>
      <c r="D31" s="69">
        <f>D30+(0.6*(1/5*$G$7+50000))</f>
        <v>1545381.7119617234</v>
      </c>
      <c r="E31" s="71"/>
      <c r="F31" s="70">
        <f>F30-(1/5*$G$7)+(0.7*(1/5*$G$7+50000))</f>
        <v>2185095.6272727274</v>
      </c>
      <c r="G31" s="69">
        <f>G30+(0.3*(1/5*$G$7+50000))</f>
        <v>825454.6119617231</v>
      </c>
      <c r="H31" s="71"/>
      <c r="J31" s="64">
        <f aca="true" t="shared" si="7" ref="J31:J38">C31+D31</f>
        <v>3010550.2392344526</v>
      </c>
      <c r="K31" s="64">
        <f t="shared" si="0"/>
        <v>900000</v>
      </c>
      <c r="L31" s="64">
        <f t="shared" si="1"/>
        <v>2110550.2392344526</v>
      </c>
      <c r="M31" s="64">
        <f t="shared" si="2"/>
        <v>3010550.2392344503</v>
      </c>
      <c r="N31" s="64">
        <f t="shared" si="3"/>
        <v>900000</v>
      </c>
      <c r="O31" s="64">
        <f t="shared" si="4"/>
        <v>2110550.2392344503</v>
      </c>
    </row>
    <row r="32" spans="2:15" ht="12.75">
      <c r="B32">
        <f t="shared" si="5"/>
        <v>19</v>
      </c>
      <c r="C32" s="70">
        <f>C31-(1/5*$G$7)+(0.4*(1/5*$G$7+50000))</f>
        <v>1441860.0363636385</v>
      </c>
      <c r="D32" s="69">
        <f>D31+(0.6*(1/5*$G$7+50000))</f>
        <v>1618690.2028708144</v>
      </c>
      <c r="E32" s="71"/>
      <c r="F32" s="70">
        <f>F31-(1/5*$G$7)+(0.7*(1/5*$G$7+50000))</f>
        <v>2198441.381818182</v>
      </c>
      <c r="G32" s="69">
        <f>G31+(0.3*(1/5*$G$7+50000))</f>
        <v>862108.8574162686</v>
      </c>
      <c r="H32" s="71"/>
      <c r="J32" s="64">
        <f t="shared" si="7"/>
        <v>3060550.239234453</v>
      </c>
      <c r="K32" s="64">
        <f t="shared" si="0"/>
        <v>950000</v>
      </c>
      <c r="L32" s="64">
        <f t="shared" si="1"/>
        <v>2110550.239234453</v>
      </c>
      <c r="M32" s="64">
        <f t="shared" si="2"/>
        <v>3060550.2392344503</v>
      </c>
      <c r="N32" s="64">
        <f t="shared" si="3"/>
        <v>950000</v>
      </c>
      <c r="O32" s="64">
        <f t="shared" si="4"/>
        <v>2110550.2392344503</v>
      </c>
    </row>
    <row r="33" spans="2:15" ht="12.75">
      <c r="B33">
        <f t="shared" si="5"/>
        <v>20</v>
      </c>
      <c r="C33" s="70">
        <f>C32-(1/5*$G$7)+(0.4*(1/5*$G$7+50000))</f>
        <v>1418551.5454545477</v>
      </c>
      <c r="D33" s="69">
        <f>D32+(0.6*(1/5*$G$7+50000))</f>
        <v>1691998.6937799053</v>
      </c>
      <c r="E33" s="71">
        <f>(C33*800+D33*400)/1000</f>
        <v>1811640.7138756004</v>
      </c>
      <c r="F33" s="70">
        <f>F32-(1/5*$G$7)+(0.7*(1/5*$G$7+50000))</f>
        <v>2211787.1363636362</v>
      </c>
      <c r="G33" s="69">
        <f>G32+(0.3*(1/5*$G$7+50000))</f>
        <v>898763.102870814</v>
      </c>
      <c r="H33" s="71">
        <f>(F33*800+G33*400)/1000</f>
        <v>2128934.9502392346</v>
      </c>
      <c r="J33" s="64">
        <f t="shared" si="7"/>
        <v>3110550.239234453</v>
      </c>
      <c r="K33" s="64">
        <f t="shared" si="0"/>
        <v>1000000</v>
      </c>
      <c r="L33" s="64">
        <f t="shared" si="1"/>
        <v>2110550.239234453</v>
      </c>
      <c r="M33" s="64">
        <f t="shared" si="2"/>
        <v>3110550.2392344503</v>
      </c>
      <c r="N33" s="64">
        <f t="shared" si="3"/>
        <v>1000000</v>
      </c>
      <c r="O33" s="64">
        <f t="shared" si="4"/>
        <v>2110550.2392344503</v>
      </c>
    </row>
    <row r="34" spans="2:15" ht="12.75">
      <c r="B34">
        <f t="shared" si="5"/>
        <v>21</v>
      </c>
      <c r="C34" s="70">
        <f>C33-(1/5*$G$8)+(0.4*(1/5*$G$8+50000))</f>
        <v>1395243.054545457</v>
      </c>
      <c r="D34" s="69">
        <f>D33+(0.6*(1/5*$G$8+50000))</f>
        <v>1765307.1846889963</v>
      </c>
      <c r="E34" s="71"/>
      <c r="F34" s="70">
        <f>F33-(1/5*$G$8)+(0.7*(1/5*$G$8+50000))</f>
        <v>2225132.8909090906</v>
      </c>
      <c r="G34" s="69">
        <f>G33+(0.3*(1/5*$G$8+50000))</f>
        <v>935417.3483253595</v>
      </c>
      <c r="H34" s="71"/>
      <c r="J34" s="64">
        <f t="shared" si="7"/>
        <v>3160550.239234453</v>
      </c>
      <c r="K34" s="64">
        <f t="shared" si="0"/>
        <v>1050000</v>
      </c>
      <c r="L34" s="64">
        <f t="shared" si="1"/>
        <v>2110550.239234453</v>
      </c>
      <c r="M34" s="64">
        <f t="shared" si="2"/>
        <v>3160550.2392344503</v>
      </c>
      <c r="N34" s="64">
        <f t="shared" si="3"/>
        <v>1050000</v>
      </c>
      <c r="O34" s="64">
        <f t="shared" si="4"/>
        <v>2110550.2392344503</v>
      </c>
    </row>
    <row r="35" spans="2:15" ht="12.75">
      <c r="B35">
        <f t="shared" si="5"/>
        <v>22</v>
      </c>
      <c r="C35" s="70">
        <f>C34-(1/5*$G$8)+(0.4*(1/5*$G$8+50000))</f>
        <v>1371934.5636363663</v>
      </c>
      <c r="D35" s="69">
        <f>D34+(0.6*(1/5*$G$8+50000))</f>
        <v>1838615.6755980873</v>
      </c>
      <c r="E35" s="71"/>
      <c r="F35" s="70">
        <f>F34-(1/5*$G$8)+(0.7*(1/5*$G$8+50000))</f>
        <v>2238478.645454545</v>
      </c>
      <c r="G35" s="69">
        <f>G34+(0.3*(1/5*$G$8+50000))</f>
        <v>972071.593779905</v>
      </c>
      <c r="H35" s="71"/>
      <c r="J35" s="64">
        <f t="shared" si="7"/>
        <v>3210550.2392344535</v>
      </c>
      <c r="K35" s="64">
        <f t="shared" si="0"/>
        <v>1100000</v>
      </c>
      <c r="L35" s="64">
        <f t="shared" si="1"/>
        <v>2110550.2392344535</v>
      </c>
      <c r="M35" s="64">
        <f t="shared" si="2"/>
        <v>3210550.2392344503</v>
      </c>
      <c r="N35" s="64">
        <f t="shared" si="3"/>
        <v>1100000</v>
      </c>
      <c r="O35" s="64">
        <f t="shared" si="4"/>
        <v>2110550.2392344503</v>
      </c>
    </row>
    <row r="36" spans="2:15" ht="12.75">
      <c r="B36">
        <f t="shared" si="5"/>
        <v>23</v>
      </c>
      <c r="C36" s="70">
        <f>C35-(1/5*$G$8)+(0.4*(1/5*$G$8+50000))</f>
        <v>1348626.0727272755</v>
      </c>
      <c r="D36" s="69">
        <f>D35+(0.6*(1/5*$G$8+50000))</f>
        <v>1911924.1665071782</v>
      </c>
      <c r="E36" s="71"/>
      <c r="F36" s="70">
        <f>F35-(1/5*$G$8)+(0.7*(1/5*$G$8+50000))</f>
        <v>2251824.3999999994</v>
      </c>
      <c r="G36" s="69">
        <f>G35+(0.3*(1/5*$G$8+50000))</f>
        <v>1008725.8392344505</v>
      </c>
      <c r="H36" s="71"/>
      <c r="J36" s="64">
        <f t="shared" si="7"/>
        <v>3260550.239234454</v>
      </c>
      <c r="K36" s="64">
        <f t="shared" si="0"/>
        <v>1150000</v>
      </c>
      <c r="L36" s="64">
        <f t="shared" si="1"/>
        <v>2110550.239234454</v>
      </c>
      <c r="M36" s="64">
        <f t="shared" si="2"/>
        <v>3260550.23923445</v>
      </c>
      <c r="N36" s="64">
        <f t="shared" si="3"/>
        <v>1150000</v>
      </c>
      <c r="O36" s="64">
        <f t="shared" si="4"/>
        <v>2110550.23923445</v>
      </c>
    </row>
    <row r="37" spans="2:15" ht="12.75">
      <c r="B37">
        <f t="shared" si="5"/>
        <v>24</v>
      </c>
      <c r="C37" s="70">
        <f>C36-(1/5*$G$8)+(0.4*(1/5*$G$8+50000))</f>
        <v>1325317.5818181848</v>
      </c>
      <c r="D37" s="69">
        <f>D36+(0.6*(1/5*$G$8+50000))</f>
        <v>1985232.6574162692</v>
      </c>
      <c r="E37" s="71"/>
      <c r="F37" s="70">
        <f>F36-(1/5*$G$8)+(0.7*(1/5*$G$8+50000))</f>
        <v>2265170.154545454</v>
      </c>
      <c r="G37" s="69">
        <f>G36+(0.3*(1/5*$G$8+50000))</f>
        <v>1045380.084688996</v>
      </c>
      <c r="H37" s="71"/>
      <c r="J37" s="64">
        <f t="shared" si="7"/>
        <v>3310550.239234454</v>
      </c>
      <c r="K37" s="64">
        <f t="shared" si="0"/>
        <v>1200000</v>
      </c>
      <c r="L37" s="64">
        <f t="shared" si="1"/>
        <v>2110550.239234454</v>
      </c>
      <c r="M37" s="64">
        <f t="shared" si="2"/>
        <v>3310550.23923445</v>
      </c>
      <c r="N37" s="64">
        <f t="shared" si="3"/>
        <v>1200000</v>
      </c>
      <c r="O37" s="64">
        <f t="shared" si="4"/>
        <v>2110550.23923445</v>
      </c>
    </row>
    <row r="38" spans="2:15" ht="13.5" thickBot="1">
      <c r="B38">
        <f t="shared" si="5"/>
        <v>25</v>
      </c>
      <c r="C38" s="72">
        <f>C37-(1/5*$G$8)+(0.4*(1/5*$G$8+50000))</f>
        <v>1302009.090909094</v>
      </c>
      <c r="D38" s="73">
        <f>D37+(0.6*(1/5*$G$8+50000))</f>
        <v>2058541.1483253601</v>
      </c>
      <c r="E38" s="74">
        <f>(C38*800+D38*400)/1000</f>
        <v>1865023.7320574194</v>
      </c>
      <c r="F38" s="72">
        <f>F37-(1/5*$G$8)+(0.7*(1/5*$G$8+50000))</f>
        <v>2278515.9090909082</v>
      </c>
      <c r="G38" s="73">
        <f>G37+(0.3*(1/5*$G$8+50000))</f>
        <v>1082034.3301435413</v>
      </c>
      <c r="H38" s="74">
        <f>(F38*800+G38*400)/1000</f>
        <v>2255626.459330143</v>
      </c>
      <c r="J38" s="64">
        <f t="shared" si="7"/>
        <v>3360550.239234454</v>
      </c>
      <c r="K38" s="64">
        <f t="shared" si="0"/>
        <v>1250000</v>
      </c>
      <c r="L38" s="64">
        <f t="shared" si="1"/>
        <v>2110550.239234454</v>
      </c>
      <c r="M38" s="64">
        <f t="shared" si="2"/>
        <v>3360550.2392344493</v>
      </c>
      <c r="N38" s="64">
        <f t="shared" si="3"/>
        <v>1250000</v>
      </c>
      <c r="O38" s="64">
        <f t="shared" si="4"/>
        <v>2110550.2392344493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9.140625" style="0" customWidth="1"/>
    <col min="3" max="3" width="11.28125" style="0" customWidth="1"/>
  </cols>
  <sheetData>
    <row r="1" spans="1:4" ht="12.75">
      <c r="A1" s="26" t="s">
        <v>139</v>
      </c>
      <c r="B1" s="45"/>
      <c r="C1" s="45"/>
      <c r="D1" s="46"/>
    </row>
    <row r="2" spans="1:4" ht="12.75">
      <c r="A2" s="36"/>
      <c r="B2" s="37"/>
      <c r="C2" s="37"/>
      <c r="D2" s="38"/>
    </row>
    <row r="3" spans="1:4" ht="12.75">
      <c r="A3" s="36" t="s">
        <v>140</v>
      </c>
      <c r="B3" s="69">
        <v>30000</v>
      </c>
      <c r="C3" s="37"/>
      <c r="D3" s="38"/>
    </row>
    <row r="4" spans="1:4" ht="12.75">
      <c r="A4" s="36" t="s">
        <v>141</v>
      </c>
      <c r="B4" s="37">
        <v>2</v>
      </c>
      <c r="C4" s="37"/>
      <c r="D4" s="38"/>
    </row>
    <row r="5" spans="1:4" ht="12.75">
      <c r="A5" s="36" t="s">
        <v>142</v>
      </c>
      <c r="B5" s="69">
        <f>62*2000/1000</f>
        <v>124</v>
      </c>
      <c r="C5" s="37"/>
      <c r="D5" s="38"/>
    </row>
    <row r="6" spans="1:4" ht="12.75">
      <c r="A6" s="36" t="s">
        <v>143</v>
      </c>
      <c r="B6" s="69">
        <f>10000/2000</f>
        <v>5</v>
      </c>
      <c r="C6" s="37"/>
      <c r="D6" s="38"/>
    </row>
    <row r="7" spans="1:4" ht="12.75">
      <c r="A7" s="36" t="s">
        <v>144</v>
      </c>
      <c r="B7" s="76">
        <v>13</v>
      </c>
      <c r="C7" s="37"/>
      <c r="D7" s="38"/>
    </row>
    <row r="8" spans="1:4" ht="12.75">
      <c r="A8" s="36" t="s">
        <v>145</v>
      </c>
      <c r="B8" s="75">
        <f>B19</f>
        <v>0.4</v>
      </c>
      <c r="C8" s="37"/>
      <c r="D8" s="38"/>
    </row>
    <row r="9" spans="1:4" ht="12.75">
      <c r="A9" s="36" t="s">
        <v>146</v>
      </c>
      <c r="B9" s="75">
        <f>C19</f>
        <v>0.35</v>
      </c>
      <c r="C9" s="37"/>
      <c r="D9" s="38"/>
    </row>
    <row r="10" spans="1:4" ht="12.75">
      <c r="A10" s="36" t="s">
        <v>147</v>
      </c>
      <c r="B10" s="76">
        <f>B7*(1-B8)</f>
        <v>7.8</v>
      </c>
      <c r="C10" s="37"/>
      <c r="D10" s="38"/>
    </row>
    <row r="11" spans="1:4" ht="12.75">
      <c r="A11" s="36" t="s">
        <v>148</v>
      </c>
      <c r="B11" s="76">
        <f>B7-B10</f>
        <v>5.2</v>
      </c>
      <c r="C11" s="37"/>
      <c r="D11" s="38"/>
    </row>
    <row r="12" spans="1:4" ht="12.75">
      <c r="A12" s="36" t="s">
        <v>149</v>
      </c>
      <c r="B12" s="69">
        <f>B3*B4*B9</f>
        <v>21000</v>
      </c>
      <c r="C12" s="37"/>
      <c r="D12" s="38"/>
    </row>
    <row r="13" spans="1:4" ht="12.75">
      <c r="A13" s="36"/>
      <c r="B13" s="69"/>
      <c r="C13" s="37"/>
      <c r="D13" s="38"/>
    </row>
    <row r="14" spans="1:4" ht="38.25">
      <c r="A14" s="88" t="s">
        <v>150</v>
      </c>
      <c r="B14" s="89" t="str">
        <f>A8</f>
        <v>Lamp Rebate (%)</v>
      </c>
      <c r="C14" s="90" t="s">
        <v>151</v>
      </c>
      <c r="D14" s="57"/>
    </row>
    <row r="15" spans="1:4" ht="12.75">
      <c r="A15" s="82"/>
      <c r="B15" s="84">
        <v>0</v>
      </c>
      <c r="C15" s="85">
        <v>0</v>
      </c>
      <c r="D15" s="38"/>
    </row>
    <row r="16" spans="1:4" ht="12.75">
      <c r="A16" s="36"/>
      <c r="B16" s="83">
        <f>B15+0.1</f>
        <v>0.1</v>
      </c>
      <c r="C16" s="85">
        <v>0.05</v>
      </c>
      <c r="D16" s="38"/>
    </row>
    <row r="17" spans="1:4" ht="12.75">
      <c r="A17" s="36"/>
      <c r="B17" s="83">
        <f>B16+0.1</f>
        <v>0.2</v>
      </c>
      <c r="C17" s="85">
        <v>0.13</v>
      </c>
      <c r="D17" s="38"/>
    </row>
    <row r="18" spans="1:4" ht="12.75">
      <c r="A18" s="36"/>
      <c r="B18" s="83">
        <f aca="true" t="shared" si="0" ref="B18:B25">B17+0.1</f>
        <v>0.30000000000000004</v>
      </c>
      <c r="C18" s="85">
        <v>0.23</v>
      </c>
      <c r="D18" s="38"/>
    </row>
    <row r="19" spans="1:4" ht="12.75">
      <c r="A19" s="36"/>
      <c r="B19" s="83">
        <f t="shared" si="0"/>
        <v>0.4</v>
      </c>
      <c r="C19" s="85">
        <v>0.35</v>
      </c>
      <c r="D19" s="38"/>
    </row>
    <row r="20" spans="1:4" ht="12.75">
      <c r="A20" s="36"/>
      <c r="B20" s="83">
        <f t="shared" si="0"/>
        <v>0.5</v>
      </c>
      <c r="C20" s="85">
        <v>0.48</v>
      </c>
      <c r="D20" s="38"/>
    </row>
    <row r="21" spans="1:4" ht="12.75">
      <c r="A21" s="36"/>
      <c r="B21" s="83">
        <f t="shared" si="0"/>
        <v>0.6</v>
      </c>
      <c r="C21" s="85">
        <v>0.61</v>
      </c>
      <c r="D21" s="38"/>
    </row>
    <row r="22" spans="1:4" ht="12.75">
      <c r="A22" s="36"/>
      <c r="B22" s="83">
        <f t="shared" si="0"/>
        <v>0.7</v>
      </c>
      <c r="C22" s="85">
        <v>0.73</v>
      </c>
      <c r="D22" s="38"/>
    </row>
    <row r="23" spans="1:4" ht="12.75">
      <c r="A23" s="36"/>
      <c r="B23" s="83">
        <f t="shared" si="0"/>
        <v>0.7999999999999999</v>
      </c>
      <c r="C23" s="85">
        <v>0.81</v>
      </c>
      <c r="D23" s="38"/>
    </row>
    <row r="24" spans="1:4" ht="12.75">
      <c r="A24" s="36"/>
      <c r="B24" s="83">
        <f t="shared" si="0"/>
        <v>0.8999999999999999</v>
      </c>
      <c r="C24" s="85">
        <v>0.88</v>
      </c>
      <c r="D24" s="38"/>
    </row>
    <row r="25" spans="1:4" ht="12.75">
      <c r="A25" s="36"/>
      <c r="B25" s="83">
        <f t="shared" si="0"/>
        <v>0.9999999999999999</v>
      </c>
      <c r="C25" s="85">
        <v>0.93</v>
      </c>
      <c r="D25" s="38"/>
    </row>
    <row r="26" spans="1:4" ht="12.75">
      <c r="A26" s="36"/>
      <c r="B26" s="83"/>
      <c r="C26" s="85"/>
      <c r="D26" s="38"/>
    </row>
    <row r="27" spans="1:4" ht="12.75">
      <c r="A27" s="55"/>
      <c r="B27" s="86" t="s">
        <v>152</v>
      </c>
      <c r="C27" s="86" t="s">
        <v>153</v>
      </c>
      <c r="D27" s="87" t="s">
        <v>129</v>
      </c>
    </row>
    <row r="28" spans="1:4" ht="12.75">
      <c r="A28" s="39" t="s">
        <v>154</v>
      </c>
      <c r="B28" s="77"/>
      <c r="C28" s="77"/>
      <c r="D28" s="78">
        <f>SUM(C28:C35)</f>
        <v>85000</v>
      </c>
    </row>
    <row r="29" spans="1:4" ht="12.75">
      <c r="A29" s="36" t="s">
        <v>155</v>
      </c>
      <c r="B29" s="77"/>
      <c r="C29" s="77">
        <v>5000</v>
      </c>
      <c r="D29" s="79"/>
    </row>
    <row r="30" spans="1:4" ht="12.75">
      <c r="A30" s="36" t="s">
        <v>156</v>
      </c>
      <c r="B30" s="77"/>
      <c r="C30" s="77">
        <f>B31+B32</f>
        <v>60000</v>
      </c>
      <c r="D30" s="79"/>
    </row>
    <row r="31" spans="1:4" ht="12.75">
      <c r="A31" s="80" t="s">
        <v>157</v>
      </c>
      <c r="B31" s="77">
        <v>10000</v>
      </c>
      <c r="C31" s="77"/>
      <c r="D31" s="79"/>
    </row>
    <row r="32" spans="1:4" ht="12.75">
      <c r="A32" s="80" t="s">
        <v>158</v>
      </c>
      <c r="B32" s="77">
        <v>50000</v>
      </c>
      <c r="C32" s="77"/>
      <c r="D32" s="79"/>
    </row>
    <row r="33" spans="1:4" ht="12.75">
      <c r="A33" s="36" t="s">
        <v>159</v>
      </c>
      <c r="B33" s="77"/>
      <c r="C33" s="77">
        <v>15000</v>
      </c>
      <c r="D33" s="79"/>
    </row>
    <row r="34" spans="1:4" ht="12.75">
      <c r="A34" s="36" t="s">
        <v>160</v>
      </c>
      <c r="B34" s="77"/>
      <c r="C34" s="77">
        <v>3000</v>
      </c>
      <c r="D34" s="79"/>
    </row>
    <row r="35" spans="1:4" ht="12.75">
      <c r="A35" s="36" t="s">
        <v>161</v>
      </c>
      <c r="B35" s="77"/>
      <c r="C35" s="77">
        <v>2000</v>
      </c>
      <c r="D35" s="79"/>
    </row>
    <row r="36" spans="1:4" ht="12.75">
      <c r="A36" s="36"/>
      <c r="B36" s="77"/>
      <c r="C36" s="77"/>
      <c r="D36" s="79"/>
    </row>
    <row r="37" spans="1:4" ht="12.75">
      <c r="A37" s="39" t="s">
        <v>162</v>
      </c>
      <c r="B37" s="77"/>
      <c r="C37" s="77"/>
      <c r="D37" s="78">
        <f>SUM(D38)</f>
        <v>109200</v>
      </c>
    </row>
    <row r="38" spans="1:4" ht="12.75">
      <c r="A38" s="36" t="s">
        <v>163</v>
      </c>
      <c r="B38" s="77"/>
      <c r="C38" s="77"/>
      <c r="D38" s="79">
        <f>B12*B11</f>
        <v>109200</v>
      </c>
    </row>
    <row r="39" spans="1:4" ht="12.75">
      <c r="A39" s="36"/>
      <c r="B39" s="77"/>
      <c r="C39" s="77"/>
      <c r="D39" s="79"/>
    </row>
    <row r="40" spans="1:4" ht="12.75">
      <c r="A40" s="93" t="s">
        <v>164</v>
      </c>
      <c r="B40" s="94"/>
      <c r="C40" s="94"/>
      <c r="D40" s="95">
        <f>D37+D28</f>
        <v>194200</v>
      </c>
    </row>
    <row r="41" spans="1:4" ht="12.75">
      <c r="A41" s="36" t="s">
        <v>165</v>
      </c>
      <c r="B41" s="75">
        <v>0.1</v>
      </c>
      <c r="C41" s="37"/>
      <c r="D41" s="38"/>
    </row>
    <row r="42" spans="1:4" ht="12.75">
      <c r="A42" s="36" t="s">
        <v>166</v>
      </c>
      <c r="B42" s="37">
        <f>B41/(1-(1+B41)^(-B6))</f>
        <v>0.26379748079474524</v>
      </c>
      <c r="C42" s="37"/>
      <c r="D42" s="38"/>
    </row>
    <row r="43" spans="1:4" ht="12.75">
      <c r="A43" s="36" t="s">
        <v>167</v>
      </c>
      <c r="B43" s="98">
        <f>D40*B42</f>
        <v>51229.470770339525</v>
      </c>
      <c r="C43" s="99" t="s">
        <v>168</v>
      </c>
      <c r="D43" s="38"/>
    </row>
    <row r="44" spans="1:4" ht="12.75">
      <c r="A44" s="39" t="s">
        <v>169</v>
      </c>
      <c r="B44" s="96">
        <f>B5*B12</f>
        <v>2604000</v>
      </c>
      <c r="C44" s="97" t="s">
        <v>42</v>
      </c>
      <c r="D44" s="38"/>
    </row>
    <row r="45" spans="1:4" ht="13.5" thickBot="1">
      <c r="A45" s="81" t="s">
        <v>170</v>
      </c>
      <c r="B45" s="91">
        <f>B43/B44</f>
        <v>0.019673375871866176</v>
      </c>
      <c r="C45" s="92" t="s">
        <v>171</v>
      </c>
      <c r="D45" s="4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Risø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Y. Redlinger</dc:creator>
  <cp:keywords/>
  <dc:description/>
  <cp:lastModifiedBy>Gilberto De Martino Jannuzzi</cp:lastModifiedBy>
  <cp:lastPrinted>1997-07-28T09:14:37Z</cp:lastPrinted>
  <dcterms:created xsi:type="dcterms:W3CDTF">1997-01-24T10:34:31Z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